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vide Cicchini\Documents\6.VARIE PER LA PROFESSIONE\PROGRAMMI UTILI\EFFLUSSO\"/>
    </mc:Choice>
  </mc:AlternateContent>
  <workbookProtection workbookAlgorithmName="SHA-512" workbookHashValue="BDLyRgZ8FsQWcCkVrZCgegFcgU1x6qqkMS+O6CXmAMYNu7RZ1rNXfQVibj7kIJtLGG4VDDwW9GWbdlsZfIUdAQ==" workbookSaltValue="yQv05g3XP3rvWcKyqnVx0g==" workbookSpinCount="100000" lockStructure="1"/>
  <bookViews>
    <workbookView xWindow="120" yWindow="45" windowWidth="15600" windowHeight="8160" tabRatio="716"/>
  </bookViews>
  <sheets>
    <sheet name="ISTRUZIONI" sheetId="10" r:id="rId1"/>
    <sheet name="CALCOLO" sheetId="1" r:id="rId2"/>
    <sheet name="DIMENSIONI APPROSSIMATE" sheetId="9" r:id="rId3"/>
    <sheet name="NOTE" sheetId="5" r:id="rId4"/>
    <sheet name="INTEGRALI DI EFFLUSSO" sheetId="4" state="hidden" r:id="rId5"/>
    <sheet name="INTEGRALI DI AREA" sheetId="7" state="hidden" r:id="rId6"/>
    <sheet name="SETTORI" sheetId="2" state="hidden" r:id="rId7"/>
    <sheet name="EQUAZIONI" sheetId="6" state="hidden" r:id="rId8"/>
  </sheets>
  <definedNames>
    <definedName name="diam">EQUAZIONI!$W$7:$W$107</definedName>
    <definedName name="luc">EQUAZIONI!$M$6:$M$8</definedName>
    <definedName name="luce">EQUAZIONI!$M$6:$O$8</definedName>
    <definedName name="sn">EQUAZIONI!$J$6:$J$7</definedName>
  </definedNames>
  <calcPr calcId="152511"/>
</workbook>
</file>

<file path=xl/calcChain.xml><?xml version="1.0" encoding="utf-8"?>
<calcChain xmlns="http://schemas.openxmlformats.org/spreadsheetml/2006/main">
  <c r="W107" i="6" l="1"/>
  <c r="E58" i="1"/>
  <c r="W106" i="6"/>
  <c r="W105" i="6"/>
  <c r="W104" i="6"/>
  <c r="W103" i="6"/>
  <c r="W102" i="6"/>
  <c r="W101" i="6"/>
  <c r="W100" i="6"/>
  <c r="W99" i="6"/>
  <c r="W98" i="6"/>
  <c r="W97" i="6"/>
  <c r="W96" i="6"/>
  <c r="W95" i="6"/>
  <c r="W94" i="6"/>
  <c r="W93" i="6"/>
  <c r="W92" i="6"/>
  <c r="W91" i="6"/>
  <c r="W90" i="6"/>
  <c r="W89" i="6"/>
  <c r="W88" i="6"/>
  <c r="W87" i="6"/>
  <c r="W86" i="6"/>
  <c r="W85" i="6"/>
  <c r="W84" i="6"/>
  <c r="W83" i="6"/>
  <c r="W82" i="6"/>
  <c r="W81" i="6"/>
  <c r="W80" i="6"/>
  <c r="W79" i="6"/>
  <c r="W78" i="6"/>
  <c r="W77" i="6"/>
  <c r="W76" i="6"/>
  <c r="W75" i="6"/>
  <c r="W74" i="6"/>
  <c r="W73" i="6"/>
  <c r="W72" i="6"/>
  <c r="W71" i="6"/>
  <c r="W70" i="6"/>
  <c r="W69" i="6"/>
  <c r="W68" i="6"/>
  <c r="W67" i="6"/>
  <c r="W66" i="6"/>
  <c r="W65" i="6"/>
  <c r="W64" i="6"/>
  <c r="W63" i="6"/>
  <c r="W62" i="6"/>
  <c r="W61" i="6"/>
  <c r="W60" i="6"/>
  <c r="W59" i="6"/>
  <c r="W58" i="6"/>
  <c r="W57" i="6"/>
  <c r="W56" i="6"/>
  <c r="W55" i="6"/>
  <c r="W54" i="6"/>
  <c r="W53" i="6"/>
  <c r="W52" i="6"/>
  <c r="W51" i="6"/>
  <c r="W50" i="6"/>
  <c r="W49" i="6"/>
  <c r="W48" i="6"/>
  <c r="W47" i="6"/>
  <c r="W46" i="6"/>
  <c r="W45" i="6"/>
  <c r="W44" i="6"/>
  <c r="W43" i="6"/>
  <c r="W42" i="6"/>
  <c r="W41" i="6"/>
  <c r="W40" i="6"/>
  <c r="W39" i="6"/>
  <c r="W38" i="6"/>
  <c r="W37" i="6"/>
  <c r="W36" i="6"/>
  <c r="W35" i="6"/>
  <c r="W34" i="6"/>
  <c r="W33" i="6"/>
  <c r="W32" i="6"/>
  <c r="W31" i="6"/>
  <c r="W30" i="6"/>
  <c r="W29" i="6"/>
  <c r="W28" i="6"/>
  <c r="W27" i="6"/>
  <c r="W26" i="6"/>
  <c r="W25" i="6"/>
  <c r="W24" i="6"/>
  <c r="W23" i="6"/>
  <c r="W22" i="6"/>
  <c r="W21" i="6"/>
  <c r="W20" i="6"/>
  <c r="W19" i="6"/>
  <c r="W18" i="6"/>
  <c r="W17" i="6"/>
  <c r="W16" i="6"/>
  <c r="W15" i="6"/>
  <c r="W14" i="6"/>
  <c r="W13" i="6"/>
  <c r="W12" i="6"/>
  <c r="W11" i="6"/>
  <c r="W10" i="6"/>
  <c r="W9" i="6"/>
  <c r="W8" i="6"/>
  <c r="W7" i="6"/>
  <c r="V106" i="6"/>
  <c r="V107" i="6" s="1"/>
  <c r="V88" i="6"/>
  <c r="V89" i="6" s="1"/>
  <c r="V90" i="6" s="1"/>
  <c r="V91" i="6" s="1"/>
  <c r="V92" i="6" s="1"/>
  <c r="V93" i="6" s="1"/>
  <c r="V94" i="6" s="1"/>
  <c r="V95" i="6" s="1"/>
  <c r="V96" i="6" s="1"/>
  <c r="V97" i="6" s="1"/>
  <c r="V98" i="6" s="1"/>
  <c r="V99" i="6" s="1"/>
  <c r="V100" i="6" s="1"/>
  <c r="V101" i="6" s="1"/>
  <c r="V102" i="6" s="1"/>
  <c r="V103" i="6" s="1"/>
  <c r="V104" i="6" s="1"/>
  <c r="V105" i="6" s="1"/>
  <c r="V70" i="6"/>
  <c r="V71" i="6" s="1"/>
  <c r="V72" i="6" s="1"/>
  <c r="V73" i="6" s="1"/>
  <c r="V74" i="6" s="1"/>
  <c r="V75" i="6" s="1"/>
  <c r="V76" i="6" s="1"/>
  <c r="V77" i="6" s="1"/>
  <c r="V78" i="6" s="1"/>
  <c r="V79" i="6" s="1"/>
  <c r="V80" i="6" s="1"/>
  <c r="V81" i="6" s="1"/>
  <c r="V82" i="6" s="1"/>
  <c r="V83" i="6" s="1"/>
  <c r="V84" i="6" s="1"/>
  <c r="V85" i="6" s="1"/>
  <c r="V86" i="6" s="1"/>
  <c r="V87" i="6" s="1"/>
  <c r="V10" i="6"/>
  <c r="V11" i="6" s="1"/>
  <c r="V12" i="6" s="1"/>
  <c r="V13" i="6" s="1"/>
  <c r="V14" i="6" s="1"/>
  <c r="V15" i="6" s="1"/>
  <c r="V16" i="6" s="1"/>
  <c r="V17" i="6" s="1"/>
  <c r="V18" i="6" s="1"/>
  <c r="V19" i="6" s="1"/>
  <c r="V20" i="6" s="1"/>
  <c r="V21" i="6" s="1"/>
  <c r="V22" i="6" s="1"/>
  <c r="V23" i="6" s="1"/>
  <c r="V24" i="6" s="1"/>
  <c r="V25" i="6" s="1"/>
  <c r="V26" i="6" s="1"/>
  <c r="V27" i="6" s="1"/>
  <c r="V28" i="6" s="1"/>
  <c r="V29" i="6" s="1"/>
  <c r="V30" i="6" s="1"/>
  <c r="V31" i="6" s="1"/>
  <c r="V32" i="6" s="1"/>
  <c r="V33" i="6" s="1"/>
  <c r="V34" i="6" s="1"/>
  <c r="V35" i="6" s="1"/>
  <c r="V36" i="6" s="1"/>
  <c r="V37" i="6" s="1"/>
  <c r="V38" i="6" s="1"/>
  <c r="V39" i="6" s="1"/>
  <c r="V40" i="6" s="1"/>
  <c r="V41" i="6" s="1"/>
  <c r="V42" i="6" s="1"/>
  <c r="V43" i="6" s="1"/>
  <c r="V44" i="6" s="1"/>
  <c r="V45" i="6" s="1"/>
  <c r="V46" i="6" s="1"/>
  <c r="V47" i="6" s="1"/>
  <c r="V48" i="6" s="1"/>
  <c r="V49" i="6" s="1"/>
  <c r="V50" i="6" s="1"/>
  <c r="V51" i="6" s="1"/>
  <c r="V52" i="6" s="1"/>
  <c r="V53" i="6" s="1"/>
  <c r="V54" i="6" s="1"/>
  <c r="V55" i="6" s="1"/>
  <c r="V56" i="6" s="1"/>
  <c r="V57" i="6" s="1"/>
  <c r="V58" i="6" s="1"/>
  <c r="V59" i="6" s="1"/>
  <c r="V60" i="6" s="1"/>
  <c r="V61" i="6" s="1"/>
  <c r="V62" i="6" s="1"/>
  <c r="V63" i="6" s="1"/>
  <c r="V64" i="6" s="1"/>
  <c r="V65" i="6" s="1"/>
  <c r="V66" i="6" s="1"/>
  <c r="V67" i="6" s="1"/>
  <c r="V68" i="6" s="1"/>
  <c r="V69" i="6" s="1"/>
  <c r="V9" i="6"/>
  <c r="V8" i="6"/>
  <c r="O17" i="6"/>
  <c r="O15" i="6"/>
  <c r="O13" i="6"/>
  <c r="G120" i="7" l="1"/>
  <c r="G115" i="7"/>
  <c r="G110" i="7"/>
  <c r="G105" i="7"/>
  <c r="G100" i="7"/>
  <c r="G95" i="7"/>
  <c r="G90" i="7"/>
  <c r="G85" i="7"/>
  <c r="G80" i="7"/>
  <c r="G75" i="7"/>
  <c r="G70" i="7"/>
  <c r="G65" i="7"/>
  <c r="G60" i="7"/>
  <c r="G55" i="7"/>
  <c r="G50" i="7"/>
  <c r="G45" i="7"/>
  <c r="G40" i="7"/>
  <c r="G35" i="7"/>
  <c r="G30" i="7"/>
  <c r="G25" i="7"/>
  <c r="G20" i="7"/>
  <c r="G15" i="7"/>
  <c r="G10" i="7"/>
  <c r="G5" i="7"/>
  <c r="G60" i="4"/>
  <c r="G55" i="4"/>
  <c r="G50" i="4"/>
  <c r="G45" i="4"/>
  <c r="G40" i="4"/>
  <c r="G35" i="4"/>
  <c r="G30" i="4"/>
  <c r="G25" i="4"/>
  <c r="G20" i="4"/>
  <c r="G120" i="4"/>
  <c r="G115" i="4"/>
  <c r="G110" i="4"/>
  <c r="G105" i="4"/>
  <c r="G100" i="4"/>
  <c r="G95" i="4"/>
  <c r="G90" i="4"/>
  <c r="G85" i="4"/>
  <c r="G80" i="4"/>
  <c r="I4" i="2"/>
  <c r="C5" i="6"/>
  <c r="E65" i="6"/>
  <c r="B65" i="6"/>
  <c r="E15" i="6"/>
  <c r="B18" i="6" s="1"/>
  <c r="F18" i="6" s="1"/>
  <c r="F5" i="6" l="1"/>
  <c r="D18" i="6"/>
  <c r="B19" i="6"/>
  <c r="E9" i="6"/>
  <c r="E7" i="6"/>
  <c r="F35" i="6" l="1"/>
  <c r="E66" i="6" s="1"/>
  <c r="C35" i="6"/>
  <c r="I5" i="2" s="1"/>
  <c r="B20" i="6"/>
  <c r="F19" i="6"/>
  <c r="D19" i="6"/>
  <c r="E11" i="6"/>
  <c r="D20" i="6"/>
  <c r="E13" i="6"/>
  <c r="G26" i="1"/>
  <c r="G15" i="4"/>
  <c r="G65" i="4"/>
  <c r="G70" i="4"/>
  <c r="G75" i="4"/>
  <c r="G10" i="4"/>
  <c r="G5" i="4"/>
  <c r="F37" i="6" l="1"/>
  <c r="E71" i="6" s="1"/>
  <c r="E67" i="6"/>
  <c r="B66" i="6"/>
  <c r="H65" i="6" s="1" a="1"/>
  <c r="H65" i="6" s="1"/>
  <c r="B67" i="6"/>
  <c r="E70" i="6"/>
  <c r="C36" i="6"/>
  <c r="F36" i="6"/>
  <c r="B21" i="6"/>
  <c r="F20" i="6"/>
  <c r="E132" i="4"/>
  <c r="E130" i="4" s="1"/>
  <c r="H66" i="6" l="1"/>
  <c r="J65" i="6" s="1"/>
  <c r="E69" i="6"/>
  <c r="E68" i="6"/>
  <c r="I6" i="2"/>
  <c r="B69" i="6"/>
  <c r="B68" i="6"/>
  <c r="C37" i="6"/>
  <c r="B22" i="6"/>
  <c r="F21" i="6"/>
  <c r="C38" i="6" s="1"/>
  <c r="D21" i="6"/>
  <c r="F38" i="6" l="1"/>
  <c r="N65" i="6"/>
  <c r="L65" i="6"/>
  <c r="H67" i="6" a="1"/>
  <c r="H67" i="6" s="1"/>
  <c r="B73" i="6"/>
  <c r="B72" i="6"/>
  <c r="I8" i="2"/>
  <c r="B71" i="6"/>
  <c r="I7" i="2"/>
  <c r="B70" i="6"/>
  <c r="H69" i="6" s="1" a="1"/>
  <c r="B23" i="6"/>
  <c r="F22" i="6"/>
  <c r="D22" i="6"/>
  <c r="E56" i="1"/>
  <c r="E60" i="1" s="1"/>
  <c r="G60" i="1" s="1"/>
  <c r="F39" i="6" l="1"/>
  <c r="H68" i="6"/>
  <c r="J67" i="6" s="1"/>
  <c r="E73" i="6"/>
  <c r="E72" i="6"/>
  <c r="H70" i="6"/>
  <c r="H69" i="6"/>
  <c r="C39" i="6"/>
  <c r="B24" i="6"/>
  <c r="F23" i="6"/>
  <c r="D23" i="6"/>
  <c r="F40" i="6" s="1"/>
  <c r="C8" i="5"/>
  <c r="C4" i="5"/>
  <c r="C5" i="5"/>
  <c r="C6" i="5"/>
  <c r="E52" i="1"/>
  <c r="G52" i="1" s="1"/>
  <c r="G58" i="1"/>
  <c r="G56" i="1"/>
  <c r="L67" i="6" l="1"/>
  <c r="N67" i="6"/>
  <c r="E77" i="6"/>
  <c r="E76" i="6"/>
  <c r="C40" i="6"/>
  <c r="N69" i="6"/>
  <c r="L69" i="6"/>
  <c r="J69" i="6"/>
  <c r="I9" i="2"/>
  <c r="B75" i="6"/>
  <c r="B74" i="6"/>
  <c r="B25" i="6"/>
  <c r="F24" i="6"/>
  <c r="D24" i="6"/>
  <c r="C4" i="2"/>
  <c r="E54" i="1"/>
  <c r="G54" i="1" s="1"/>
  <c r="B77" i="6" l="1"/>
  <c r="B76" i="6"/>
  <c r="I10" i="2"/>
  <c r="C32" i="2" s="1"/>
  <c r="C41" i="6"/>
  <c r="E75" i="6"/>
  <c r="E74" i="6"/>
  <c r="H73" i="6" s="1" a="1"/>
  <c r="H71" i="6" a="1"/>
  <c r="B26" i="6"/>
  <c r="F25" i="6"/>
  <c r="D25" i="6"/>
  <c r="F41" i="6"/>
  <c r="D31" i="4" l="1"/>
  <c r="C34" i="2"/>
  <c r="D29" i="4" s="1"/>
  <c r="H75" i="6" a="1"/>
  <c r="H75" i="6" s="1"/>
  <c r="B79" i="6"/>
  <c r="I11" i="2"/>
  <c r="C39" i="2" s="1"/>
  <c r="B78" i="6"/>
  <c r="F42" i="6"/>
  <c r="E81" i="6" s="1"/>
  <c r="D31" i="7"/>
  <c r="E78" i="6"/>
  <c r="E79" i="6"/>
  <c r="H74" i="6"/>
  <c r="H73" i="6"/>
  <c r="H72" i="6"/>
  <c r="H71" i="6"/>
  <c r="B27" i="6"/>
  <c r="F26" i="6"/>
  <c r="D26" i="6"/>
  <c r="C42" i="6"/>
  <c r="C29" i="2"/>
  <c r="C14" i="2"/>
  <c r="C17" i="2"/>
  <c r="C9" i="2"/>
  <c r="C12" i="2"/>
  <c r="C19" i="2"/>
  <c r="C22" i="2"/>
  <c r="C27" i="2"/>
  <c r="C24" i="2"/>
  <c r="C7" i="2"/>
  <c r="C37" i="2" l="1"/>
  <c r="E80" i="6"/>
  <c r="D26" i="7"/>
  <c r="D21" i="7"/>
  <c r="D19" i="7"/>
  <c r="D24" i="7"/>
  <c r="D29" i="7"/>
  <c r="H76" i="6"/>
  <c r="N75" i="6" s="1"/>
  <c r="H77" i="6" a="1"/>
  <c r="H78" i="6" s="1"/>
  <c r="F43" i="6"/>
  <c r="E83" i="6" s="1"/>
  <c r="D34" i="7"/>
  <c r="D34" i="4"/>
  <c r="N71" i="6"/>
  <c r="L71" i="6"/>
  <c r="N73" i="6"/>
  <c r="L73" i="6"/>
  <c r="J71" i="6"/>
  <c r="J73" i="6"/>
  <c r="D4" i="4"/>
  <c r="D4" i="7"/>
  <c r="D16" i="4"/>
  <c r="D16" i="7"/>
  <c r="D6" i="4"/>
  <c r="D6" i="7"/>
  <c r="D14" i="4"/>
  <c r="D14" i="7"/>
  <c r="D9" i="4"/>
  <c r="D9" i="7"/>
  <c r="D11" i="4"/>
  <c r="D11" i="7"/>
  <c r="D19" i="4"/>
  <c r="D24" i="4"/>
  <c r="D26" i="4"/>
  <c r="D21" i="4"/>
  <c r="B81" i="6"/>
  <c r="B80" i="6"/>
  <c r="H79" i="6" s="1" a="1"/>
  <c r="I12" i="2"/>
  <c r="C42" i="2" s="1"/>
  <c r="B28" i="6"/>
  <c r="F27" i="6"/>
  <c r="D27" i="6"/>
  <c r="F44" i="6" s="1"/>
  <c r="C43" i="6"/>
  <c r="C30" i="7" l="1"/>
  <c r="L75" i="6"/>
  <c r="C30" i="4"/>
  <c r="J75" i="6"/>
  <c r="D36" i="4"/>
  <c r="D36" i="7"/>
  <c r="D41" i="7"/>
  <c r="C15" i="7"/>
  <c r="E82" i="6"/>
  <c r="H77" i="6"/>
  <c r="N77" i="6" s="1"/>
  <c r="C44" i="6"/>
  <c r="B85" i="6" s="1"/>
  <c r="C20" i="7"/>
  <c r="C5" i="4"/>
  <c r="C25" i="7"/>
  <c r="C15" i="4"/>
  <c r="C10" i="4"/>
  <c r="C10" i="7"/>
  <c r="C5" i="7"/>
  <c r="C20" i="4"/>
  <c r="C25" i="4"/>
  <c r="D41" i="4"/>
  <c r="E85" i="6"/>
  <c r="E84" i="6"/>
  <c r="C44" i="2"/>
  <c r="I13" i="2"/>
  <c r="C47" i="2" s="1"/>
  <c r="B83" i="6"/>
  <c r="B82" i="6"/>
  <c r="H80" i="6"/>
  <c r="H79" i="6"/>
  <c r="B29" i="6"/>
  <c r="F28" i="6"/>
  <c r="C45" i="6" s="1"/>
  <c r="D28" i="6"/>
  <c r="I14" i="2" l="1"/>
  <c r="D46" i="7"/>
  <c r="B84" i="6"/>
  <c r="D39" i="7"/>
  <c r="H81" i="6" a="1"/>
  <c r="H81" i="6" s="1"/>
  <c r="L77" i="6"/>
  <c r="J77" i="6"/>
  <c r="C35" i="4"/>
  <c r="C35" i="7"/>
  <c r="N79" i="6"/>
  <c r="L79" i="6"/>
  <c r="J79" i="6"/>
  <c r="J20" i="4"/>
  <c r="D46" i="4"/>
  <c r="D39" i="4"/>
  <c r="C40" i="4" s="1"/>
  <c r="H83" i="6" a="1"/>
  <c r="H84" i="6" s="1"/>
  <c r="C52" i="2"/>
  <c r="C49" i="2"/>
  <c r="C54" i="2"/>
  <c r="B87" i="6"/>
  <c r="I15" i="2"/>
  <c r="C57" i="2" s="1"/>
  <c r="B86" i="6"/>
  <c r="F45" i="6"/>
  <c r="D29" i="6"/>
  <c r="F29" i="6"/>
  <c r="C53" i="6" s="1"/>
  <c r="H82" i="6" l="1"/>
  <c r="D51" i="7"/>
  <c r="D56" i="7"/>
  <c r="D49" i="7"/>
  <c r="D44" i="7"/>
  <c r="J40" i="4"/>
  <c r="C58" i="6"/>
  <c r="I28" i="2" s="1"/>
  <c r="C55" i="6"/>
  <c r="C52" i="6"/>
  <c r="B100" i="6" s="1"/>
  <c r="I23" i="2"/>
  <c r="B102" i="6"/>
  <c r="B103" i="6"/>
  <c r="F46" i="6"/>
  <c r="E89" i="6" s="1"/>
  <c r="F48" i="6"/>
  <c r="F47" i="6"/>
  <c r="F49" i="6"/>
  <c r="F57" i="6"/>
  <c r="F58" i="6"/>
  <c r="E112" i="6" s="1"/>
  <c r="F53" i="6"/>
  <c r="F54" i="6"/>
  <c r="F52" i="6"/>
  <c r="C46" i="6"/>
  <c r="B89" i="6" s="1"/>
  <c r="C49" i="6"/>
  <c r="C48" i="6"/>
  <c r="C47" i="6"/>
  <c r="C50" i="6"/>
  <c r="C56" i="6"/>
  <c r="C51" i="6"/>
  <c r="C54" i="6"/>
  <c r="C57" i="6"/>
  <c r="I27" i="2" s="1"/>
  <c r="F51" i="6"/>
  <c r="F56" i="6"/>
  <c r="F50" i="6"/>
  <c r="F55" i="6"/>
  <c r="N81" i="6"/>
  <c r="L81" i="6"/>
  <c r="J81" i="6"/>
  <c r="C40" i="7"/>
  <c r="H83" i="6"/>
  <c r="D49" i="4"/>
  <c r="D51" i="4"/>
  <c r="D56" i="4"/>
  <c r="D44" i="4"/>
  <c r="C45" i="4" s="1"/>
  <c r="E87" i="6"/>
  <c r="E86" i="6"/>
  <c r="H85" i="6" s="1" a="1"/>
  <c r="C59" i="2"/>
  <c r="I16" i="2"/>
  <c r="C62" i="2" s="1"/>
  <c r="B110" i="6" l="1"/>
  <c r="D54" i="7"/>
  <c r="D61" i="7"/>
  <c r="I22" i="2"/>
  <c r="C97" i="2" s="1"/>
  <c r="B88" i="6"/>
  <c r="E88" i="6"/>
  <c r="B101" i="6"/>
  <c r="I25" i="2"/>
  <c r="B106" i="6"/>
  <c r="B107" i="6"/>
  <c r="B111" i="6"/>
  <c r="E97" i="6"/>
  <c r="E96" i="6"/>
  <c r="I24" i="2"/>
  <c r="B105" i="6"/>
  <c r="B104" i="6"/>
  <c r="B90" i="6"/>
  <c r="I17" i="2"/>
  <c r="B91" i="6"/>
  <c r="E100" i="6"/>
  <c r="E101" i="6"/>
  <c r="E108" i="6"/>
  <c r="E109" i="6"/>
  <c r="I21" i="2"/>
  <c r="B99" i="6"/>
  <c r="B98" i="6"/>
  <c r="B92" i="6"/>
  <c r="B93" i="6"/>
  <c r="I18" i="2"/>
  <c r="E105" i="6"/>
  <c r="E104" i="6"/>
  <c r="E95" i="6"/>
  <c r="E94" i="6"/>
  <c r="E98" i="6"/>
  <c r="E99" i="6"/>
  <c r="I26" i="2"/>
  <c r="C119" i="2" s="1"/>
  <c r="B109" i="6"/>
  <c r="B108" i="6"/>
  <c r="I19" i="2"/>
  <c r="B94" i="6"/>
  <c r="B95" i="6"/>
  <c r="E91" i="6"/>
  <c r="E90" i="6"/>
  <c r="E106" i="6"/>
  <c r="E107" i="6"/>
  <c r="B96" i="6"/>
  <c r="B97" i="6"/>
  <c r="I20" i="2"/>
  <c r="E103" i="6"/>
  <c r="E102" i="6"/>
  <c r="E92" i="6"/>
  <c r="E93" i="6"/>
  <c r="C102" i="2"/>
  <c r="J83" i="6"/>
  <c r="N83" i="6"/>
  <c r="L83" i="6"/>
  <c r="C45" i="7"/>
  <c r="C50" i="7"/>
  <c r="C50" i="4"/>
  <c r="D61" i="4"/>
  <c r="D54" i="4"/>
  <c r="C124" i="2"/>
  <c r="B112" i="6"/>
  <c r="C64" i="2"/>
  <c r="C67" i="2"/>
  <c r="E111" i="6"/>
  <c r="E110" i="6"/>
  <c r="H86" i="6"/>
  <c r="H85" i="6"/>
  <c r="C94" i="2" l="1"/>
  <c r="C72" i="2"/>
  <c r="D71" i="7" s="1"/>
  <c r="H109" i="6" a="1"/>
  <c r="H110" i="6" s="1"/>
  <c r="D59" i="7"/>
  <c r="C99" i="2"/>
  <c r="D94" i="4" s="1"/>
  <c r="H87" i="6" a="1"/>
  <c r="H87" i="6" s="1"/>
  <c r="H101" i="6" a="1"/>
  <c r="H102" i="6" s="1"/>
  <c r="H89" i="6" a="1"/>
  <c r="H89" i="6" s="1"/>
  <c r="C69" i="2"/>
  <c r="D64" i="4" s="1"/>
  <c r="C112" i="2"/>
  <c r="C109" i="2"/>
  <c r="H99" i="6" a="1"/>
  <c r="H99" i="6" s="1"/>
  <c r="C79" i="2"/>
  <c r="C82" i="2"/>
  <c r="H91" i="6" a="1"/>
  <c r="H105" i="6" a="1"/>
  <c r="H107" i="6" a="1"/>
  <c r="H97" i="6" a="1"/>
  <c r="C107" i="2"/>
  <c r="C104" i="2"/>
  <c r="D101" i="4"/>
  <c r="D101" i="7"/>
  <c r="D89" i="4"/>
  <c r="D89" i="7"/>
  <c r="C84" i="2"/>
  <c r="C87" i="2"/>
  <c r="C74" i="2"/>
  <c r="C77" i="2"/>
  <c r="H95" i="6" a="1"/>
  <c r="D96" i="4"/>
  <c r="D96" i="7"/>
  <c r="C117" i="2"/>
  <c r="C114" i="2"/>
  <c r="H93" i="6" a="1"/>
  <c r="C92" i="2"/>
  <c r="C89" i="2"/>
  <c r="H103" i="6" a="1"/>
  <c r="N85" i="6"/>
  <c r="L85" i="6"/>
  <c r="C55" i="7"/>
  <c r="J85" i="6"/>
  <c r="C122" i="2"/>
  <c r="D114" i="4"/>
  <c r="D114" i="7"/>
  <c r="D119" i="4"/>
  <c r="D119" i="7"/>
  <c r="C55" i="4"/>
  <c r="D66" i="4"/>
  <c r="D66" i="7"/>
  <c r="H111" i="6" a="1"/>
  <c r="H112" i="6" s="1"/>
  <c r="D59" i="4"/>
  <c r="D71" i="4" l="1"/>
  <c r="H109" i="6"/>
  <c r="H101" i="6"/>
  <c r="J101" i="6" s="1"/>
  <c r="D94" i="7"/>
  <c r="H88" i="6"/>
  <c r="C60" i="4" s="1"/>
  <c r="H100" i="6"/>
  <c r="N99" i="6" s="1"/>
  <c r="D64" i="7"/>
  <c r="D121" i="4"/>
  <c r="H90" i="6"/>
  <c r="N89" i="6" s="1"/>
  <c r="D104" i="4"/>
  <c r="D104" i="7"/>
  <c r="D111" i="7"/>
  <c r="D111" i="4"/>
  <c r="H93" i="6"/>
  <c r="H94" i="6"/>
  <c r="D76" i="7"/>
  <c r="D76" i="4"/>
  <c r="H91" i="6"/>
  <c r="H92" i="6"/>
  <c r="D74" i="7"/>
  <c r="D74" i="4"/>
  <c r="H104" i="6"/>
  <c r="H103" i="6"/>
  <c r="D109" i="4"/>
  <c r="D109" i="7"/>
  <c r="D69" i="4"/>
  <c r="D69" i="7"/>
  <c r="D99" i="7"/>
  <c r="D99" i="4"/>
  <c r="H98" i="6"/>
  <c r="H97" i="6"/>
  <c r="L101" i="6"/>
  <c r="J89" i="6"/>
  <c r="D84" i="4"/>
  <c r="D84" i="7"/>
  <c r="D116" i="7"/>
  <c r="D116" i="4"/>
  <c r="C115" i="7" s="1"/>
  <c r="D86" i="4"/>
  <c r="D86" i="7"/>
  <c r="D106" i="4"/>
  <c r="D106" i="7"/>
  <c r="H108" i="6"/>
  <c r="H107" i="6"/>
  <c r="D91" i="7"/>
  <c r="D91" i="4"/>
  <c r="H96" i="6"/>
  <c r="H95" i="6"/>
  <c r="D79" i="4"/>
  <c r="D79" i="7"/>
  <c r="H106" i="6"/>
  <c r="H105" i="6"/>
  <c r="D81" i="7"/>
  <c r="D81" i="4"/>
  <c r="N109" i="6"/>
  <c r="L109" i="6"/>
  <c r="D121" i="7"/>
  <c r="J109" i="6"/>
  <c r="H111" i="6"/>
  <c r="C95" i="4" l="1"/>
  <c r="N101" i="6"/>
  <c r="C95" i="7"/>
  <c r="C65" i="4"/>
  <c r="C60" i="7"/>
  <c r="J35" i="7" s="1"/>
  <c r="L99" i="6"/>
  <c r="J99" i="6"/>
  <c r="C90" i="7"/>
  <c r="C65" i="7"/>
  <c r="J60" i="4"/>
  <c r="L35" i="4"/>
  <c r="C115" i="4"/>
  <c r="L89" i="6"/>
  <c r="N87" i="6"/>
  <c r="L87" i="6"/>
  <c r="J87" i="6"/>
  <c r="C75" i="7"/>
  <c r="N97" i="6"/>
  <c r="C85" i="7"/>
  <c r="L97" i="6"/>
  <c r="J97" i="6"/>
  <c r="C85" i="4"/>
  <c r="C100" i="4"/>
  <c r="N103" i="6"/>
  <c r="L103" i="6"/>
  <c r="J103" i="6"/>
  <c r="C100" i="7"/>
  <c r="C90" i="4"/>
  <c r="J105" i="6"/>
  <c r="L105" i="6"/>
  <c r="N105" i="6"/>
  <c r="C105" i="7"/>
  <c r="C105" i="4"/>
  <c r="N95" i="6"/>
  <c r="L95" i="6"/>
  <c r="C80" i="7"/>
  <c r="C80" i="4"/>
  <c r="J95" i="6"/>
  <c r="J107" i="6"/>
  <c r="N107" i="6"/>
  <c r="C110" i="4"/>
  <c r="L107" i="6"/>
  <c r="C110" i="7"/>
  <c r="C70" i="4"/>
  <c r="N91" i="6"/>
  <c r="C70" i="7"/>
  <c r="L91" i="6"/>
  <c r="J91" i="6"/>
  <c r="N93" i="6"/>
  <c r="L93" i="6"/>
  <c r="J93" i="6"/>
  <c r="C75" i="4"/>
  <c r="N111" i="6"/>
  <c r="L111" i="6"/>
  <c r="C120" i="7"/>
  <c r="J111" i="6"/>
  <c r="C120" i="4"/>
  <c r="J114" i="6" l="1"/>
  <c r="J80" i="4"/>
  <c r="I123" i="7"/>
  <c r="H4" i="9" s="1"/>
  <c r="L114" i="6"/>
  <c r="J100" i="4"/>
  <c r="L95" i="4"/>
  <c r="N114" i="6"/>
  <c r="J95" i="7"/>
  <c r="J121" i="4"/>
  <c r="J124" i="4"/>
  <c r="C134" i="4" s="1"/>
  <c r="H7" i="9" l="1"/>
  <c r="C136" i="4"/>
  <c r="E136" i="4" s="1"/>
  <c r="E134" i="4"/>
  <c r="E50" i="1" l="1"/>
  <c r="G50" i="1" s="1"/>
</calcChain>
</file>

<file path=xl/comments1.xml><?xml version="1.0" encoding="utf-8"?>
<comments xmlns="http://schemas.openxmlformats.org/spreadsheetml/2006/main">
  <authors>
    <author>Davide Cicchini</author>
  </authors>
  <commentList>
    <comment ref="G26" authorId="0" shapeId="0">
      <text>
        <r>
          <rPr>
            <b/>
            <sz val="9"/>
            <color indexed="81"/>
            <rFont val="Tahoma"/>
            <charset val="1"/>
          </rPr>
          <t xml:space="preserve">Davide Cicchini:
</t>
        </r>
        <r>
          <rPr>
            <sz val="9"/>
            <color indexed="81"/>
            <rFont val="Tahoma"/>
            <family val="2"/>
          </rPr>
          <t>AGLI ESTREMI Significa che la cisterna è completamente piena e la luce di efflusso è posizionata sul fondo.
NEI SETTORI Significa che la cisterna non è completamente piena oppure che la luce di efflusso è spostata verso l'alto rispetto al fondo.</t>
        </r>
      </text>
    </comment>
  </commentList>
</comments>
</file>

<file path=xl/sharedStrings.xml><?xml version="1.0" encoding="utf-8"?>
<sst xmlns="http://schemas.openxmlformats.org/spreadsheetml/2006/main" count="695" uniqueCount="267">
  <si>
    <t>Diametro</t>
  </si>
  <si>
    <t>lunghezza</t>
  </si>
  <si>
    <t>diametro luce di efflusso</t>
  </si>
  <si>
    <t>TEMPO DI EFFLUSSO</t>
  </si>
  <si>
    <r>
      <t>2L/[</t>
    </r>
    <r>
      <rPr>
        <sz val="11"/>
        <color theme="1"/>
        <rFont val="Calibri"/>
        <family val="2"/>
      </rPr>
      <t>Ω*Cc*(2g)^(1/2)] =</t>
    </r>
  </si>
  <si>
    <t>[m]</t>
  </si>
  <si>
    <t>tempo extra</t>
  </si>
  <si>
    <t xml:space="preserve">tempo </t>
  </si>
  <si>
    <t>[s]</t>
  </si>
  <si>
    <t>[min]</t>
  </si>
  <si>
    <t>[m^(3/2)]</t>
  </si>
  <si>
    <t>[s*m^(2/3)]</t>
  </si>
  <si>
    <t>CALCOLO DEL TEMPO DI EFFLUSSO DA UNA CISTERNA CILINDRICA ORIZZONTALE</t>
  </si>
  <si>
    <t>SETTORI CIRCONFERENZA</t>
  </si>
  <si>
    <t>volume cisterna:</t>
  </si>
  <si>
    <t xml:space="preserve">1 inch = </t>
  </si>
  <si>
    <t>[cm]</t>
  </si>
  <si>
    <t>velocità massima:</t>
  </si>
  <si>
    <t>[m/s]</t>
  </si>
  <si>
    <t>Cc</t>
  </si>
  <si>
    <t>[-]</t>
  </si>
  <si>
    <t xml:space="preserve">Luci a battente a sezione circolare </t>
  </si>
  <si>
    <t>Luci con tubo addizionale interno</t>
  </si>
  <si>
    <t>Luci con tubo addizionale esterno</t>
  </si>
  <si>
    <t>COEFFICIENTE DI CONTRAZIONE</t>
  </si>
  <si>
    <t>R=</t>
  </si>
  <si>
    <t>volume massa liquida:</t>
  </si>
  <si>
    <t>volume massa liquida in efflusso:</t>
  </si>
  <si>
    <t xml:space="preserve">1/2 inch = </t>
  </si>
  <si>
    <t xml:space="preserve">3/4 inch = </t>
  </si>
  <si>
    <t xml:space="preserve">2 inch = </t>
  </si>
  <si>
    <t xml:space="preserve">3/8 inch = </t>
  </si>
  <si>
    <t>[km/h]</t>
  </si>
  <si>
    <t>[litri]</t>
  </si>
  <si>
    <t>CONVERSIONE POLLICI</t>
  </si>
  <si>
    <t>X0</t>
  </si>
  <si>
    <t>X1</t>
  </si>
  <si>
    <t>X2</t>
  </si>
  <si>
    <t>X3</t>
  </si>
  <si>
    <t>X4</t>
  </si>
  <si>
    <t>X5</t>
  </si>
  <si>
    <t>X6</t>
  </si>
  <si>
    <t>TOT</t>
  </si>
  <si>
    <t>n</t>
  </si>
  <si>
    <t>SE[PL&gt;=Xn-1; SE(PL&lt;Xn;PL;0);Xn-1]</t>
  </si>
  <si>
    <t>PL: pelo libero</t>
  </si>
  <si>
    <t>n: generico settore</t>
  </si>
  <si>
    <t>Xn: generico punto</t>
  </si>
  <si>
    <t>LE: luce di efflusso</t>
  </si>
  <si>
    <t>LOGICA UTILIZZATA PER LA DETERMINAZIONE DEGLI ESTREMI DI INTEGRAZIONE</t>
  </si>
  <si>
    <t>**L'algoritmo si basa sulla posizione assoluta in relazione all'apice della circonferenza**</t>
  </si>
  <si>
    <t>SE[LE&lt;Xn;SE(LE&gt;=Xn-1;LE;Xn-1);SE(PL&gt;=Xn;0;Xn)]</t>
  </si>
  <si>
    <t>ZONA LENTA</t>
  </si>
  <si>
    <t>ZONA VELOCE</t>
  </si>
  <si>
    <t>INPUT</t>
  </si>
  <si>
    <t>OUTPUT</t>
  </si>
  <si>
    <t>SI</t>
  </si>
  <si>
    <t>NO</t>
  </si>
  <si>
    <t>Passaggio</t>
  </si>
  <si>
    <t>Gli integrali vanno moltiplicati per il seguente valore, restituendo come risultato il tempo di efflusso</t>
  </si>
  <si>
    <t>il tempo di efflusso va' maggiorato di una quantità allo scopo di ridurre l'errore fatto, linearizzando la circonferenza</t>
  </si>
  <si>
    <t>selezionare SI/NO</t>
  </si>
  <si>
    <t>Cicchini Davide</t>
  </si>
  <si>
    <t>1° SETTORE</t>
  </si>
  <si>
    <t>2° SETTORE</t>
  </si>
  <si>
    <t>3° SETTORE</t>
  </si>
  <si>
    <t>4° SETTORE</t>
  </si>
  <si>
    <t>5° SETTORE</t>
  </si>
  <si>
    <t>6° SETTORE</t>
  </si>
  <si>
    <t>TOT '</t>
  </si>
  <si>
    <t>TOT ''</t>
  </si>
  <si>
    <t xml:space="preserve">AREA CIRCONFERENZA </t>
  </si>
  <si>
    <t>Raggio</t>
  </si>
  <si>
    <t>AREA POLIGONO 48</t>
  </si>
  <si>
    <t>∆%</t>
  </si>
  <si>
    <t>∆</t>
  </si>
  <si>
    <t>SENO</t>
  </si>
  <si>
    <t>COSENO</t>
  </si>
  <si>
    <t>X7</t>
  </si>
  <si>
    <t>X8</t>
  </si>
  <si>
    <t>X9</t>
  </si>
  <si>
    <t>X10</t>
  </si>
  <si>
    <t>X11</t>
  </si>
  <si>
    <t>X12</t>
  </si>
  <si>
    <t>X13</t>
  </si>
  <si>
    <t>X14</t>
  </si>
  <si>
    <t>X15</t>
  </si>
  <si>
    <t>X16</t>
  </si>
  <si>
    <t>X17</t>
  </si>
  <si>
    <t>X18</t>
  </si>
  <si>
    <t>X19</t>
  </si>
  <si>
    <t>X20</t>
  </si>
  <si>
    <t>X24</t>
  </si>
  <si>
    <t>X21</t>
  </si>
  <si>
    <t>X22</t>
  </si>
  <si>
    <t>Y0</t>
  </si>
  <si>
    <t>Y1</t>
  </si>
  <si>
    <t>Y2</t>
  </si>
  <si>
    <t>Y3</t>
  </si>
  <si>
    <t>Y4</t>
  </si>
  <si>
    <t>Y5</t>
  </si>
  <si>
    <t>Y6</t>
  </si>
  <si>
    <t>Y7</t>
  </si>
  <si>
    <t>Y8</t>
  </si>
  <si>
    <t>Y9</t>
  </si>
  <si>
    <t>Y10</t>
  </si>
  <si>
    <t>Y11</t>
  </si>
  <si>
    <t>Y12</t>
  </si>
  <si>
    <t>Y13</t>
  </si>
  <si>
    <t>Y14</t>
  </si>
  <si>
    <t>Y15</t>
  </si>
  <si>
    <t>Y16</t>
  </si>
  <si>
    <t>Y17</t>
  </si>
  <si>
    <t>Y18</t>
  </si>
  <si>
    <t>Y19</t>
  </si>
  <si>
    <t>Y20</t>
  </si>
  <si>
    <t>Y21</t>
  </si>
  <si>
    <t>Y22</t>
  </si>
  <si>
    <t>Y23</t>
  </si>
  <si>
    <t>X23</t>
  </si>
  <si>
    <t>Y24</t>
  </si>
  <si>
    <t>m1</t>
  </si>
  <si>
    <t>q1</t>
  </si>
  <si>
    <t>m2</t>
  </si>
  <si>
    <t>q2</t>
  </si>
  <si>
    <t>x0</t>
  </si>
  <si>
    <t>x1</t>
  </si>
  <si>
    <t>x2</t>
  </si>
  <si>
    <t>x3</t>
  </si>
  <si>
    <t>x4</t>
  </si>
  <si>
    <t>m3</t>
  </si>
  <si>
    <t>q3</t>
  </si>
  <si>
    <t>x5</t>
  </si>
  <si>
    <t>x6</t>
  </si>
  <si>
    <t>x7</t>
  </si>
  <si>
    <t>x8</t>
  </si>
  <si>
    <t>x9</t>
  </si>
  <si>
    <t>x10</t>
  </si>
  <si>
    <t>x11</t>
  </si>
  <si>
    <t>x12</t>
  </si>
  <si>
    <t>x13</t>
  </si>
  <si>
    <t>x14</t>
  </si>
  <si>
    <t>x15</t>
  </si>
  <si>
    <t>x16</t>
  </si>
  <si>
    <t>x17</t>
  </si>
  <si>
    <t>x18</t>
  </si>
  <si>
    <t>x19</t>
  </si>
  <si>
    <t>x20</t>
  </si>
  <si>
    <t>x21</t>
  </si>
  <si>
    <t>x22</t>
  </si>
  <si>
    <t>x23</t>
  </si>
  <si>
    <t>x24</t>
  </si>
  <si>
    <t>m4</t>
  </si>
  <si>
    <t>q4</t>
  </si>
  <si>
    <t>m5</t>
  </si>
  <si>
    <t>q5</t>
  </si>
  <si>
    <t>m6</t>
  </si>
  <si>
    <t>q6</t>
  </si>
  <si>
    <t>m7</t>
  </si>
  <si>
    <t>q7</t>
  </si>
  <si>
    <t>m8</t>
  </si>
  <si>
    <t>q8</t>
  </si>
  <si>
    <t>m9</t>
  </si>
  <si>
    <t>q9</t>
  </si>
  <si>
    <t>m10</t>
  </si>
  <si>
    <t>q10</t>
  </si>
  <si>
    <t>m11</t>
  </si>
  <si>
    <t>q11</t>
  </si>
  <si>
    <t>m12</t>
  </si>
  <si>
    <t>q12</t>
  </si>
  <si>
    <t>m13</t>
  </si>
  <si>
    <t>q13</t>
  </si>
  <si>
    <t>m14</t>
  </si>
  <si>
    <t>q14</t>
  </si>
  <si>
    <t>m15</t>
  </si>
  <si>
    <t>q15</t>
  </si>
  <si>
    <t>m16</t>
  </si>
  <si>
    <t>q16</t>
  </si>
  <si>
    <t>m17</t>
  </si>
  <si>
    <t>q17</t>
  </si>
  <si>
    <t>m18</t>
  </si>
  <si>
    <t>q19</t>
  </si>
  <si>
    <t>m20</t>
  </si>
  <si>
    <t>q21</t>
  </si>
  <si>
    <t>q18</t>
  </si>
  <si>
    <t>m19</t>
  </si>
  <si>
    <t>q20</t>
  </si>
  <si>
    <t>m21</t>
  </si>
  <si>
    <t>m22</t>
  </si>
  <si>
    <t>q22</t>
  </si>
  <si>
    <t>m23</t>
  </si>
  <si>
    <t>q23</t>
  </si>
  <si>
    <t>m24</t>
  </si>
  <si>
    <t>q24</t>
  </si>
  <si>
    <t>7° SETTORE</t>
  </si>
  <si>
    <t>8° SETTORE</t>
  </si>
  <si>
    <t>9° SETTORE</t>
  </si>
  <si>
    <t>10° SETTORE</t>
  </si>
  <si>
    <t>11° SETTORE</t>
  </si>
  <si>
    <t>12° SETTORE</t>
  </si>
  <si>
    <t>13° SETTORE</t>
  </si>
  <si>
    <t>14° SETTORE</t>
  </si>
  <si>
    <t>15° SETTORE</t>
  </si>
  <si>
    <t>16° SETTORE</t>
  </si>
  <si>
    <t>17° SETTORE</t>
  </si>
  <si>
    <t>18° SETTORE</t>
  </si>
  <si>
    <t>19° SETTORE</t>
  </si>
  <si>
    <t>20° SETTORE</t>
  </si>
  <si>
    <t>21° SETTORE</t>
  </si>
  <si>
    <t>22° SETTORE</t>
  </si>
  <si>
    <t>23° SETTORE</t>
  </si>
  <si>
    <t>24° SETTORE</t>
  </si>
  <si>
    <t>[m^2]</t>
  </si>
  <si>
    <t>TOT1</t>
  </si>
  <si>
    <t>TOT2</t>
  </si>
  <si>
    <t>TOT3</t>
  </si>
  <si>
    <t>TOT4</t>
  </si>
  <si>
    <t>TOT5=</t>
  </si>
  <si>
    <t>TOT6=</t>
  </si>
  <si>
    <t>TOT'</t>
  </si>
  <si>
    <t>TOT''</t>
  </si>
  <si>
    <t xml:space="preserve">integrali </t>
  </si>
  <si>
    <t>efflusso</t>
  </si>
  <si>
    <t>integrali</t>
  </si>
  <si>
    <t>area</t>
  </si>
  <si>
    <t>rivoluzione</t>
  </si>
  <si>
    <t>TOTALI</t>
  </si>
  <si>
    <t>APPROSSIMAZIONE AL POLIGONO REGOLARE A 48 LATI</t>
  </si>
  <si>
    <t xml:space="preserve">ANGOLI </t>
  </si>
  <si>
    <t>Lato</t>
  </si>
  <si>
    <t>PUNTI SULLA SEMICIRCONFERENZA</t>
  </si>
  <si>
    <t>EQUAZIONI LINEARI (mX+q=Y)</t>
  </si>
  <si>
    <t xml:space="preserve"> servono per ricavare il tempo di efflusso</t>
  </si>
  <si>
    <t xml:space="preserve"> servono per ricavare la semiarea del poligono a 48 lati</t>
  </si>
  <si>
    <t>servono per ricavare il volume del solido ricavato ruotando la semiarea attorno al suo asse di simmetria</t>
  </si>
  <si>
    <t>QUARTO SUPERIORE</t>
  </si>
  <si>
    <t>QUARTO INFERIORE</t>
  </si>
  <si>
    <t>VOLUME DELL'AQUA IN EFFLUSSO APPROSSIMATA</t>
  </si>
  <si>
    <t>APPROSSIMAZIONI DI CALCOLO</t>
  </si>
  <si>
    <t>Per il calcolo sono stati usati questi valori</t>
  </si>
  <si>
    <t>AREA DELLA SUPERFICIE LIQUIDA VERTICALE APPROSSIMATA</t>
  </si>
  <si>
    <t>RAGGIO :</t>
  </si>
  <si>
    <t xml:space="preserve">ULTIMO ANGOLO </t>
  </si>
  <si>
    <t>**Le approssimazioni sono dello 0,3%**</t>
  </si>
  <si>
    <t>INTEGRALI DI EFFLUSSO     (2/3)m√X³+2q√X=Φ</t>
  </si>
  <si>
    <t>INTEGRALI DI AREA      (1/2)mX²+qX=A</t>
  </si>
  <si>
    <t>volume massa liquida in ristagno:</t>
  </si>
  <si>
    <t>Ing. Davide Cicchini</t>
  </si>
  <si>
    <t xml:space="preserve">Ing. Davide Cicchini </t>
  </si>
  <si>
    <t>Inserendo le dimensioni della cisterna, della sezione del rubinetto e del livello del</t>
  </si>
  <si>
    <t xml:space="preserve"> liquido si ottiene in uscita il tempo necessario a svuotare il serbatoio e altri dati di</t>
  </si>
  <si>
    <t xml:space="preserve"> interesse. Il calcolo è stato condotto con approssimazioni numeriche e considerando </t>
  </si>
  <si>
    <t>il fluido come un liquido perfetto (privo di viscosità).</t>
  </si>
  <si>
    <t>di due ordini di grandezza inferiore al diametro della cisterna (metri-centimetri)</t>
  </si>
  <si>
    <t>posizione del pelo libero rispetto all'apice del serbatoio</t>
  </si>
  <si>
    <t>posizione della luce rispetto all'apice del serbatoio</t>
  </si>
  <si>
    <t>www.davidecicchini.it</t>
  </si>
  <si>
    <r>
      <t>[m</t>
    </r>
    <r>
      <rPr>
        <sz val="14"/>
        <color theme="1"/>
        <rFont val="Times New Roman"/>
        <family val="1"/>
      </rPr>
      <t>²</t>
    </r>
    <r>
      <rPr>
        <sz val="14"/>
        <color theme="1"/>
        <rFont val="Calibri"/>
        <family val="2"/>
        <scheme val="minor"/>
      </rPr>
      <t>]</t>
    </r>
  </si>
  <si>
    <r>
      <t>[m</t>
    </r>
    <r>
      <rPr>
        <sz val="14"/>
        <color theme="1"/>
        <rFont val="Times New Roman"/>
        <family val="1"/>
      </rPr>
      <t>³</t>
    </r>
    <r>
      <rPr>
        <sz val="14"/>
        <color theme="1"/>
        <rFont val="Calibri"/>
        <family val="2"/>
        <scheme val="minor"/>
      </rPr>
      <t>]</t>
    </r>
  </si>
  <si>
    <t>Luci a battente a sezione circolare : Cc = 0,61</t>
  </si>
  <si>
    <t>Luci con tubo addizionale esterno (tubo di Venturi): Cc = 0,82</t>
  </si>
  <si>
    <t>DATI CISTERNA:</t>
  </si>
  <si>
    <t>TIPO DI LUCE:</t>
  </si>
  <si>
    <t>Luci con tubo addizionale interno (bocca di Borda) : Cc = 0,51</t>
  </si>
  <si>
    <t xml:space="preserve">Affinchè il calcolo sia valido, il diametro della luce di efflusso deve essere </t>
  </si>
  <si>
    <r>
      <t xml:space="preserve">apice   </t>
    </r>
    <r>
      <rPr>
        <u/>
        <sz val="8"/>
        <color theme="1"/>
        <rFont val="Calibri"/>
        <family val="2"/>
      </rPr>
      <t>→</t>
    </r>
  </si>
  <si>
    <t>versione 1.1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</si>
</sst>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0.0000"/>
    <numFmt numFmtId="166" formatCode="0.000"/>
    <numFmt numFmtId="167" formatCode="0.0000000"/>
  </numFmts>
  <fonts count="2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6"/>
      <color rgb="FFFF0000"/>
      <name val="Calibri"/>
      <family val="2"/>
      <scheme val="minor"/>
    </font>
    <font>
      <i/>
      <sz val="16"/>
      <color rgb="FFFF0000"/>
      <name val="Calibri"/>
      <family val="2"/>
      <scheme val="minor"/>
    </font>
    <font>
      <b/>
      <i/>
      <u/>
      <sz val="16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i/>
      <sz val="12"/>
      <color rgb="FFFF0000"/>
      <name val="Calibri"/>
      <family val="2"/>
      <scheme val="minor"/>
    </font>
    <font>
      <b/>
      <i/>
      <u/>
      <sz val="14"/>
      <color rgb="FFFF0000"/>
      <name val="Calibri"/>
      <family val="2"/>
      <scheme val="minor"/>
    </font>
    <font>
      <b/>
      <u/>
      <sz val="14"/>
      <color rgb="FFFF0000"/>
      <name val="Calibri"/>
      <family val="2"/>
      <scheme val="minor"/>
    </font>
    <font>
      <i/>
      <sz val="12"/>
      <color theme="1"/>
      <name val="Century"/>
      <family val="1"/>
    </font>
    <font>
      <i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4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family val="2"/>
    </font>
    <font>
      <sz val="14"/>
      <color theme="1"/>
      <name val="Times New Roman"/>
      <family val="1"/>
    </font>
    <font>
      <u/>
      <sz val="8"/>
      <color theme="1"/>
      <name val="Calibri"/>
      <family val="2"/>
      <scheme val="minor"/>
    </font>
    <font>
      <u/>
      <sz val="8"/>
      <color theme="1"/>
      <name val="Calibri"/>
      <family val="2"/>
    </font>
    <font>
      <b/>
      <i/>
      <sz val="12"/>
      <color theme="1"/>
      <name val="Century"/>
      <family val="1"/>
    </font>
    <font>
      <b/>
      <sz val="12"/>
      <color rgb="FF00B0F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slantDashDot">
        <color theme="8"/>
      </left>
      <right style="slantDashDot">
        <color theme="8"/>
      </right>
      <top style="slantDashDot">
        <color theme="8"/>
      </top>
      <bottom style="slantDashDot">
        <color theme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/>
      <diagonal/>
    </border>
    <border>
      <left/>
      <right/>
      <top style="thin">
        <color rgb="FFFF0000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double">
        <color auto="1"/>
      </right>
      <top/>
      <bottom/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120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right"/>
    </xf>
    <xf numFmtId="0" fontId="1" fillId="0" borderId="0" xfId="0" applyFont="1"/>
    <xf numFmtId="0" fontId="0" fillId="0" borderId="3" xfId="0" applyBorder="1"/>
    <xf numFmtId="0" fontId="9" fillId="0" borderId="0" xfId="0" applyFont="1"/>
    <xf numFmtId="0" fontId="0" fillId="0" borderId="0" xfId="0" applyAlignment="1">
      <alignment horizontal="right"/>
    </xf>
    <xf numFmtId="0" fontId="0" fillId="0" borderId="3" xfId="0" applyBorder="1" applyAlignment="1">
      <alignment horizontal="center"/>
    </xf>
    <xf numFmtId="0" fontId="10" fillId="0" borderId="0" xfId="0" applyFont="1"/>
    <xf numFmtId="0" fontId="4" fillId="0" borderId="0" xfId="0" applyFont="1"/>
    <xf numFmtId="0" fontId="11" fillId="0" borderId="0" xfId="0" applyFont="1"/>
    <xf numFmtId="0" fontId="0" fillId="0" borderId="0" xfId="0" applyFont="1"/>
    <xf numFmtId="0" fontId="7" fillId="0" borderId="0" xfId="0" applyFont="1" applyAlignment="1">
      <alignment horizontal="right"/>
    </xf>
    <xf numFmtId="0" fontId="0" fillId="0" borderId="0" xfId="0" applyBorder="1"/>
    <xf numFmtId="166" fontId="0" fillId="0" borderId="0" xfId="0" applyNumberFormat="1"/>
    <xf numFmtId="0" fontId="12" fillId="0" borderId="0" xfId="0" applyFont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 vertical="center"/>
    </xf>
    <xf numFmtId="0" fontId="0" fillId="0" borderId="5" xfId="0" applyBorder="1"/>
    <xf numFmtId="0" fontId="13" fillId="0" borderId="0" xfId="0" applyFont="1" applyAlignment="1">
      <alignment horizontal="left"/>
    </xf>
    <xf numFmtId="0" fontId="13" fillId="0" borderId="0" xfId="0" applyFont="1"/>
    <xf numFmtId="0" fontId="15" fillId="0" borderId="0" xfId="0" applyFont="1"/>
    <xf numFmtId="0" fontId="16" fillId="0" borderId="0" xfId="0" applyFont="1" applyAlignment="1">
      <alignment horizontal="right"/>
    </xf>
    <xf numFmtId="2" fontId="0" fillId="0" borderId="0" xfId="0" applyNumberFormat="1"/>
    <xf numFmtId="0" fontId="7" fillId="0" borderId="0" xfId="0" applyFont="1"/>
    <xf numFmtId="0" fontId="0" fillId="0" borderId="15" xfId="0" applyBorder="1"/>
    <xf numFmtId="0" fontId="0" fillId="0" borderId="0" xfId="0" applyFill="1" applyBorder="1" applyAlignment="1">
      <alignment horizontal="right"/>
    </xf>
    <xf numFmtId="0" fontId="16" fillId="0" borderId="0" xfId="0" applyFont="1" applyAlignment="1">
      <alignment horizontal="right" vertical="center"/>
    </xf>
    <xf numFmtId="0" fontId="0" fillId="0" borderId="2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0" xfId="0" applyAlignment="1">
      <alignment horizontal="left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0" fillId="0" borderId="20" xfId="0" applyBorder="1"/>
    <xf numFmtId="0" fontId="0" fillId="0" borderId="0" xfId="0" applyAlignment="1">
      <alignment horizontal="center" vertical="center"/>
    </xf>
    <xf numFmtId="167" fontId="0" fillId="0" borderId="0" xfId="0" applyNumberFormat="1"/>
    <xf numFmtId="0" fontId="7" fillId="0" borderId="0" xfId="0" applyFont="1" applyAlignment="1">
      <alignment horizontal="center" vertical="center"/>
    </xf>
    <xf numFmtId="0" fontId="17" fillId="0" borderId="0" xfId="0" applyFont="1"/>
    <xf numFmtId="0" fontId="18" fillId="0" borderId="0" xfId="0" applyFont="1"/>
    <xf numFmtId="0" fontId="19" fillId="0" borderId="21" xfId="0" applyFont="1" applyBorder="1" applyAlignment="1">
      <alignment horizontal="center" vertical="center"/>
    </xf>
    <xf numFmtId="0" fontId="0" fillId="0" borderId="21" xfId="0" applyBorder="1"/>
    <xf numFmtId="0" fontId="0" fillId="0" borderId="22" xfId="0" applyFill="1" applyBorder="1" applyAlignment="1">
      <alignment horizontal="right"/>
    </xf>
    <xf numFmtId="0" fontId="0" fillId="0" borderId="22" xfId="0" applyBorder="1"/>
    <xf numFmtId="165" fontId="0" fillId="0" borderId="0" xfId="0" applyNumberForma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0" borderId="21" xfId="0" applyNumberFormat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165" fontId="0" fillId="0" borderId="16" xfId="0" applyNumberFormat="1" applyBorder="1" applyAlignment="1">
      <alignment horizontal="center" vertical="center"/>
    </xf>
    <xf numFmtId="165" fontId="0" fillId="0" borderId="0" xfId="0" applyNumberFormat="1" applyBorder="1" applyAlignment="1">
      <alignment horizontal="right" vertical="center"/>
    </xf>
    <xf numFmtId="165" fontId="0" fillId="0" borderId="15" xfId="0" applyNumberFormat="1" applyBorder="1" applyAlignment="1">
      <alignment horizontal="right" vertical="center"/>
    </xf>
    <xf numFmtId="165" fontId="0" fillId="0" borderId="16" xfId="0" applyNumberFormat="1" applyBorder="1" applyAlignment="1">
      <alignment horizontal="right" vertical="center"/>
    </xf>
    <xf numFmtId="0" fontId="19" fillId="0" borderId="4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0" fillId="0" borderId="23" xfId="0" applyBorder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7" fillId="0" borderId="0" xfId="0" applyFont="1" applyAlignment="1">
      <alignment horizontal="left"/>
    </xf>
    <xf numFmtId="0" fontId="3" fillId="0" borderId="6" xfId="0" applyFont="1" applyBorder="1" applyProtection="1">
      <protection hidden="1"/>
    </xf>
    <xf numFmtId="0" fontId="3" fillId="0" borderId="7" xfId="0" applyFont="1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0" fillId="0" borderId="0" xfId="0" applyProtection="1">
      <protection hidden="1"/>
    </xf>
    <xf numFmtId="0" fontId="0" fillId="0" borderId="9" xfId="0" applyBorder="1" applyProtection="1">
      <protection hidden="1"/>
    </xf>
    <xf numFmtId="0" fontId="0" fillId="0" borderId="0" xfId="0" applyBorder="1" applyProtection="1">
      <protection hidden="1"/>
    </xf>
    <xf numFmtId="0" fontId="0" fillId="0" borderId="10" xfId="0" applyBorder="1" applyProtection="1">
      <protection hidden="1"/>
    </xf>
    <xf numFmtId="0" fontId="6" fillId="0" borderId="9" xfId="0" applyFont="1" applyBorder="1" applyProtection="1">
      <protection hidden="1"/>
    </xf>
    <xf numFmtId="0" fontId="0" fillId="0" borderId="0" xfId="0" applyFill="1" applyBorder="1" applyProtection="1">
      <protection hidden="1"/>
    </xf>
    <xf numFmtId="0" fontId="3" fillId="0" borderId="9" xfId="0" applyFont="1" applyBorder="1" applyProtection="1"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4" fillId="0" borderId="0" xfId="0" applyFont="1" applyBorder="1" applyProtection="1"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14" fillId="0" borderId="0" xfId="0" applyFont="1" applyFill="1" applyAlignment="1" applyProtection="1">
      <alignment horizontal="center"/>
      <protection hidden="1"/>
    </xf>
    <xf numFmtId="164" fontId="5" fillId="0" borderId="7" xfId="0" applyNumberFormat="1" applyFont="1" applyBorder="1" applyProtection="1">
      <protection hidden="1"/>
    </xf>
    <xf numFmtId="0" fontId="5" fillId="0" borderId="7" xfId="0" applyFont="1" applyBorder="1" applyAlignment="1" applyProtection="1">
      <alignment horizontal="center"/>
      <protection hidden="1"/>
    </xf>
    <xf numFmtId="164" fontId="5" fillId="0" borderId="7" xfId="0" applyNumberFormat="1" applyFont="1" applyBorder="1" applyAlignment="1" applyProtection="1">
      <alignment vertical="center"/>
      <protection hidden="1"/>
    </xf>
    <xf numFmtId="0" fontId="5" fillId="0" borderId="8" xfId="0" applyFont="1" applyBorder="1" applyAlignment="1" applyProtection="1">
      <alignment horizontal="center"/>
      <protection hidden="1"/>
    </xf>
    <xf numFmtId="165" fontId="5" fillId="0" borderId="0" xfId="0" applyNumberFormat="1" applyFont="1" applyBorder="1" applyProtection="1">
      <protection hidden="1"/>
    </xf>
    <xf numFmtId="0" fontId="5" fillId="0" borderId="0" xfId="0" applyFont="1" applyBorder="1" applyAlignment="1" applyProtection="1">
      <alignment horizontal="center"/>
      <protection hidden="1"/>
    </xf>
    <xf numFmtId="164" fontId="5" fillId="0" borderId="0" xfId="0" applyNumberFormat="1" applyFont="1" applyBorder="1" applyAlignment="1" applyProtection="1">
      <alignment vertical="center"/>
      <protection hidden="1"/>
    </xf>
    <xf numFmtId="0" fontId="5" fillId="0" borderId="10" xfId="0" applyFont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1" fillId="0" borderId="9" xfId="0" applyFont="1" applyBorder="1" applyAlignment="1" applyProtection="1">
      <protection hidden="1"/>
    </xf>
    <xf numFmtId="0" fontId="11" fillId="0" borderId="0" xfId="0" applyFont="1" applyBorder="1" applyAlignment="1" applyProtection="1">
      <protection hidden="1"/>
    </xf>
    <xf numFmtId="166" fontId="0" fillId="0" borderId="0" xfId="0" applyNumberFormat="1" applyAlignment="1">
      <alignment horizontal="center" vertical="center"/>
    </xf>
    <xf numFmtId="0" fontId="17" fillId="0" borderId="0" xfId="0" applyFont="1" applyBorder="1" applyAlignment="1" applyProtection="1">
      <alignment horizontal="center" vertical="center"/>
      <protection hidden="1"/>
    </xf>
    <xf numFmtId="0" fontId="17" fillId="0" borderId="0" xfId="0" applyFont="1" applyAlignment="1">
      <alignment horizontal="center"/>
    </xf>
    <xf numFmtId="0" fontId="21" fillId="0" borderId="0" xfId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6" fillId="0" borderId="9" xfId="0" applyFont="1" applyBorder="1" applyAlignment="1" applyProtection="1">
      <alignment horizontal="left"/>
      <protection hidden="1"/>
    </xf>
    <xf numFmtId="0" fontId="6" fillId="0" borderId="0" xfId="0" applyFont="1" applyBorder="1" applyAlignment="1" applyProtection="1">
      <alignment horizontal="left"/>
      <protection hidden="1"/>
    </xf>
    <xf numFmtId="0" fontId="6" fillId="0" borderId="28" xfId="0" applyFont="1" applyBorder="1" applyAlignment="1" applyProtection="1">
      <alignment horizontal="left"/>
      <protection hidden="1"/>
    </xf>
    <xf numFmtId="0" fontId="6" fillId="0" borderId="9" xfId="0" applyFont="1" applyBorder="1" applyAlignment="1" applyProtection="1">
      <alignment horizontal="left"/>
      <protection hidden="1"/>
    </xf>
    <xf numFmtId="0" fontId="6" fillId="0" borderId="0" xfId="0" applyFont="1" applyBorder="1" applyAlignment="1" applyProtection="1">
      <alignment horizontal="left"/>
      <protection hidden="1"/>
    </xf>
    <xf numFmtId="2" fontId="4" fillId="0" borderId="0" xfId="0" applyNumberFormat="1" applyFont="1" applyBorder="1" applyAlignment="1" applyProtection="1">
      <alignment horizontal="center"/>
      <protection hidden="1"/>
    </xf>
    <xf numFmtId="0" fontId="25" fillId="0" borderId="0" xfId="0" applyFont="1" applyBorder="1" applyAlignment="1" applyProtection="1">
      <alignment horizontal="right"/>
      <protection hidden="1"/>
    </xf>
    <xf numFmtId="0" fontId="8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20" fillId="0" borderId="0" xfId="0" applyFont="1" applyProtection="1">
      <protection hidden="1"/>
    </xf>
    <xf numFmtId="0" fontId="27" fillId="0" borderId="0" xfId="0" applyFont="1" applyAlignment="1" applyProtection="1">
      <alignment horizontal="center"/>
      <protection hidden="1"/>
    </xf>
    <xf numFmtId="0" fontId="1" fillId="0" borderId="0" xfId="0" applyFont="1" applyProtection="1">
      <protection hidden="1"/>
    </xf>
    <xf numFmtId="2" fontId="4" fillId="0" borderId="24" xfId="0" applyNumberFormat="1" applyFont="1" applyBorder="1" applyAlignment="1" applyProtection="1">
      <alignment horizontal="center"/>
      <protection locked="0"/>
    </xf>
    <xf numFmtId="2" fontId="4" fillId="0" borderId="24" xfId="0" quotePrefix="1" applyNumberFormat="1" applyFont="1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/>
      <protection hidden="1"/>
    </xf>
    <xf numFmtId="0" fontId="28" fillId="0" borderId="0" xfId="0" applyFont="1"/>
  </cellXfs>
  <cellStyles count="2">
    <cellStyle name="Collegamento ipertestuale" xfId="1" builtinId="8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9526</xdr:colOff>
      <xdr:row>0</xdr:row>
      <xdr:rowOff>104775</xdr:rowOff>
    </xdr:from>
    <xdr:to>
      <xdr:col>9</xdr:col>
      <xdr:colOff>161926</xdr:colOff>
      <xdr:row>3</xdr:row>
      <xdr:rowOff>70413</xdr:rowOff>
    </xdr:to>
    <xdr:pic>
      <xdr:nvPicPr>
        <xdr:cNvPr id="2" name="Immagine 1" descr="Cattura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19126" y="295275"/>
          <a:ext cx="5029200" cy="5371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47625</xdr:colOff>
      <xdr:row>3</xdr:row>
      <xdr:rowOff>171450</xdr:rowOff>
    </xdr:from>
    <xdr:to>
      <xdr:col>5</xdr:col>
      <xdr:colOff>352425</xdr:colOff>
      <xdr:row>19</xdr:row>
      <xdr:rowOff>148582</xdr:rowOff>
    </xdr:to>
    <xdr:pic>
      <xdr:nvPicPr>
        <xdr:cNvPr id="1029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819150"/>
          <a:ext cx="3152775" cy="3025132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152400</xdr:colOff>
      <xdr:row>32</xdr:row>
      <xdr:rowOff>7713</xdr:rowOff>
    </xdr:from>
    <xdr:to>
      <xdr:col>5</xdr:col>
      <xdr:colOff>19049</xdr:colOff>
      <xdr:row>36</xdr:row>
      <xdr:rowOff>158107</xdr:rowOff>
    </xdr:to>
    <xdr:pic>
      <xdr:nvPicPr>
        <xdr:cNvPr id="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29075" y="6484713"/>
          <a:ext cx="990599" cy="950494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38099</xdr:colOff>
      <xdr:row>3</xdr:row>
      <xdr:rowOff>0</xdr:rowOff>
    </xdr:from>
    <xdr:to>
      <xdr:col>13</xdr:col>
      <xdr:colOff>247650</xdr:colOff>
      <xdr:row>29</xdr:row>
      <xdr:rowOff>118153</xdr:rowOff>
    </xdr:to>
    <xdr:pic>
      <xdr:nvPicPr>
        <xdr:cNvPr id="2051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4" y="647700"/>
          <a:ext cx="2647951" cy="5309278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davidecicchini.it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I11"/>
  <sheetViews>
    <sheetView showGridLines="0" showRowColHeaders="0" tabSelected="1" workbookViewId="0">
      <selection activeCell="B10" sqref="B10"/>
    </sheetView>
  </sheetViews>
  <sheetFormatPr defaultRowHeight="15" x14ac:dyDescent="0.25"/>
  <cols>
    <col min="1" max="1" width="2.85546875" customWidth="1"/>
  </cols>
  <sheetData>
    <row r="5" spans="2:9" x14ac:dyDescent="0.25">
      <c r="B5" t="s">
        <v>249</v>
      </c>
    </row>
    <row r="6" spans="2:9" x14ac:dyDescent="0.25">
      <c r="B6" t="s">
        <v>250</v>
      </c>
    </row>
    <row r="7" spans="2:9" x14ac:dyDescent="0.25">
      <c r="B7" t="s">
        <v>251</v>
      </c>
    </row>
    <row r="8" spans="2:9" x14ac:dyDescent="0.25">
      <c r="B8" t="s">
        <v>252</v>
      </c>
    </row>
    <row r="9" spans="2:9" x14ac:dyDescent="0.25">
      <c r="G9" s="94" t="s">
        <v>247</v>
      </c>
      <c r="H9" s="94"/>
      <c r="I9" s="94"/>
    </row>
    <row r="10" spans="2:9" ht="15.75" x14ac:dyDescent="0.25">
      <c r="B10" s="119" t="s">
        <v>266</v>
      </c>
    </row>
    <row r="11" spans="2:9" x14ac:dyDescent="0.25">
      <c r="G11" s="95" t="s">
        <v>256</v>
      </c>
      <c r="H11" s="96"/>
      <c r="I11" s="96"/>
    </row>
  </sheetData>
  <sheetProtection algorithmName="SHA-512" hashValue="rdfrir+F/KuhXzZ3rEgy7usZSfaPxGXZXctmMW8VYQX+FN2Jvwbh3PTKTwUsqKRlWR4DuF5bcmdJzQgVLYwDKQ==" saltValue="4I7v8elOT4bptrzEJcjUrg==" spinCount="100000" sheet="1" objects="1" scenarios="1" selectLockedCells="1"/>
  <mergeCells count="2">
    <mergeCell ref="G9:I9"/>
    <mergeCell ref="G11:I11"/>
  </mergeCells>
  <hyperlinks>
    <hyperlink ref="G11" r:id="rId1"/>
  </hyperlinks>
  <pageMargins left="0.7" right="0.7" top="0.75" bottom="0.75" header="0.3" footer="0.3"/>
  <pageSetup paperSize="9" orientation="portrait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65"/>
  <sheetViews>
    <sheetView showGridLines="0" workbookViewId="0">
      <selection activeCell="E24" sqref="E24"/>
    </sheetView>
  </sheetViews>
  <sheetFormatPr defaultRowHeight="15" x14ac:dyDescent="0.25"/>
  <cols>
    <col min="1" max="1" width="5.140625" customWidth="1"/>
    <col min="2" max="2" width="12.7109375" customWidth="1"/>
    <col min="3" max="3" width="14.42578125" customWidth="1"/>
    <col min="4" max="4" width="25.85546875" customWidth="1"/>
    <col min="5" max="5" width="16.85546875" customWidth="1"/>
    <col min="7" max="7" width="21" customWidth="1"/>
    <col min="10" max="10" width="13" customWidth="1"/>
    <col min="11" max="11" width="10.42578125" customWidth="1"/>
    <col min="12" max="12" width="7.42578125" customWidth="1"/>
    <col min="14" max="14" width="11.5703125" customWidth="1"/>
  </cols>
  <sheetData>
    <row r="1" spans="1:11" x14ac:dyDescent="0.25">
      <c r="A1" s="67"/>
      <c r="B1" s="67"/>
      <c r="C1" s="67"/>
      <c r="D1" s="67"/>
      <c r="E1" s="67"/>
      <c r="F1" s="67"/>
      <c r="G1" s="67"/>
      <c r="H1" s="67"/>
      <c r="I1" s="67"/>
      <c r="J1" s="67"/>
      <c r="K1" s="67"/>
    </row>
    <row r="2" spans="1:11" ht="21" x14ac:dyDescent="0.35">
      <c r="A2" s="67"/>
      <c r="B2" s="118" t="s">
        <v>12</v>
      </c>
      <c r="C2" s="118"/>
      <c r="D2" s="118"/>
      <c r="E2" s="118"/>
      <c r="F2" s="118"/>
      <c r="G2" s="118"/>
      <c r="H2" s="118"/>
      <c r="I2" s="67"/>
      <c r="J2" s="67"/>
      <c r="K2" s="67"/>
    </row>
    <row r="3" spans="1:11" x14ac:dyDescent="0.25">
      <c r="A3" s="67"/>
      <c r="B3" s="67"/>
      <c r="C3" s="112"/>
      <c r="D3" s="112"/>
      <c r="E3" s="112"/>
      <c r="F3" s="112"/>
      <c r="G3" s="112"/>
      <c r="H3" s="112"/>
      <c r="I3" s="112"/>
      <c r="J3" s="112"/>
      <c r="K3" s="67"/>
    </row>
    <row r="4" spans="1:11" x14ac:dyDescent="0.25">
      <c r="A4" s="67"/>
      <c r="B4" s="67"/>
      <c r="C4" s="67"/>
      <c r="D4" s="67"/>
      <c r="E4" s="67"/>
      <c r="F4" s="67"/>
      <c r="G4" s="67"/>
      <c r="H4" s="67"/>
      <c r="I4" s="67"/>
      <c r="J4" s="67"/>
      <c r="K4" s="67"/>
    </row>
    <row r="5" spans="1:11" x14ac:dyDescent="0.25">
      <c r="A5" s="67"/>
      <c r="B5" s="67"/>
      <c r="C5" s="67"/>
      <c r="D5" s="67"/>
      <c r="E5" s="67"/>
      <c r="F5" s="67"/>
      <c r="G5" s="67"/>
      <c r="H5" s="67"/>
      <c r="I5" s="67"/>
      <c r="J5" s="67"/>
      <c r="K5" s="67"/>
    </row>
    <row r="6" spans="1:11" x14ac:dyDescent="0.25">
      <c r="A6" s="67"/>
      <c r="B6" s="67"/>
      <c r="C6" s="67"/>
      <c r="D6" s="67"/>
      <c r="E6" s="67"/>
      <c r="F6" s="67"/>
      <c r="G6" s="67"/>
      <c r="H6" s="67"/>
      <c r="I6" s="67"/>
      <c r="J6" s="67"/>
      <c r="K6" s="67"/>
    </row>
    <row r="7" spans="1:11" x14ac:dyDescent="0.25">
      <c r="A7" s="67"/>
      <c r="B7" s="67"/>
      <c r="C7" s="67"/>
      <c r="D7" s="67"/>
      <c r="E7" s="67"/>
      <c r="F7" s="67"/>
      <c r="G7" s="67"/>
      <c r="H7" s="67"/>
      <c r="I7" s="67"/>
      <c r="J7" s="67"/>
      <c r="K7" s="67"/>
    </row>
    <row r="8" spans="1:11" x14ac:dyDescent="0.25">
      <c r="A8" s="67"/>
      <c r="B8" s="67"/>
      <c r="C8" s="67"/>
      <c r="D8" s="67"/>
      <c r="E8" s="67"/>
      <c r="F8" s="67"/>
      <c r="G8" s="67"/>
      <c r="H8" s="67"/>
      <c r="I8" s="67"/>
      <c r="J8" s="67"/>
      <c r="K8" s="67"/>
    </row>
    <row r="9" spans="1:11" x14ac:dyDescent="0.25">
      <c r="A9" s="67"/>
      <c r="B9" s="67"/>
      <c r="C9" s="67"/>
      <c r="D9" s="67"/>
      <c r="E9" s="67"/>
      <c r="F9" s="67"/>
      <c r="G9" s="67"/>
      <c r="H9" s="67"/>
      <c r="I9" s="67"/>
      <c r="J9" s="67"/>
      <c r="K9" s="67"/>
    </row>
    <row r="10" spans="1:11" x14ac:dyDescent="0.25">
      <c r="A10" s="67"/>
      <c r="B10" s="67"/>
      <c r="C10" s="67"/>
      <c r="D10" s="67"/>
      <c r="E10" s="67"/>
      <c r="F10" s="67"/>
      <c r="G10" s="67"/>
      <c r="H10" s="67"/>
      <c r="I10" s="67"/>
      <c r="J10" s="67"/>
      <c r="K10" s="67"/>
    </row>
    <row r="11" spans="1:11" x14ac:dyDescent="0.25">
      <c r="A11" s="67"/>
      <c r="B11" s="67"/>
      <c r="C11" s="67"/>
      <c r="D11" s="67"/>
      <c r="E11" s="67"/>
      <c r="F11" s="67"/>
      <c r="G11" s="67"/>
      <c r="H11" s="67"/>
      <c r="I11" s="67"/>
      <c r="J11" s="67"/>
      <c r="K11" s="67"/>
    </row>
    <row r="12" spans="1:11" x14ac:dyDescent="0.25">
      <c r="A12" s="67"/>
      <c r="B12" s="67"/>
      <c r="C12" s="67"/>
      <c r="D12" s="67"/>
      <c r="E12" s="67"/>
      <c r="F12" s="67"/>
      <c r="G12" s="67"/>
      <c r="H12" s="67"/>
      <c r="I12" s="67"/>
      <c r="J12" s="67"/>
      <c r="K12" s="67"/>
    </row>
    <row r="13" spans="1:11" x14ac:dyDescent="0.25">
      <c r="A13" s="67"/>
      <c r="B13" s="67"/>
      <c r="C13" s="67"/>
      <c r="D13" s="67"/>
      <c r="E13" s="67"/>
      <c r="F13" s="67"/>
      <c r="G13" s="67"/>
      <c r="H13" s="67"/>
      <c r="I13" s="67"/>
      <c r="J13" s="67"/>
      <c r="K13" s="67"/>
    </row>
    <row r="14" spans="1:11" x14ac:dyDescent="0.25">
      <c r="A14" s="67"/>
      <c r="B14" s="67"/>
      <c r="C14" s="67"/>
      <c r="D14" s="67"/>
      <c r="E14" s="67"/>
      <c r="F14" s="67"/>
      <c r="G14" s="67"/>
      <c r="H14" s="67"/>
      <c r="I14" s="67"/>
      <c r="J14" s="67"/>
      <c r="K14" s="67"/>
    </row>
    <row r="15" spans="1:11" x14ac:dyDescent="0.25">
      <c r="A15" s="67"/>
      <c r="B15" s="67"/>
      <c r="C15" s="67"/>
      <c r="D15" s="67"/>
      <c r="E15" s="67"/>
      <c r="F15" s="67"/>
      <c r="G15" s="67"/>
      <c r="H15" s="67"/>
      <c r="I15" s="67"/>
      <c r="J15" s="67"/>
      <c r="K15" s="67"/>
    </row>
    <row r="16" spans="1:11" x14ac:dyDescent="0.25">
      <c r="A16" s="67"/>
      <c r="B16" s="67"/>
      <c r="C16" s="67"/>
      <c r="D16" s="67"/>
      <c r="E16" s="67"/>
      <c r="F16" s="67"/>
      <c r="G16" s="67"/>
      <c r="H16" s="67"/>
      <c r="I16" s="67"/>
      <c r="J16" s="67"/>
      <c r="K16" s="67"/>
    </row>
    <row r="17" spans="1:11" x14ac:dyDescent="0.25">
      <c r="A17" s="67"/>
      <c r="B17" s="67"/>
      <c r="C17" s="67"/>
      <c r="D17" s="67"/>
      <c r="E17" s="67"/>
      <c r="F17" s="67"/>
      <c r="G17" s="67"/>
      <c r="H17" s="67"/>
      <c r="I17" s="67"/>
      <c r="J17" s="67"/>
      <c r="K17" s="67"/>
    </row>
    <row r="18" spans="1:11" x14ac:dyDescent="0.25">
      <c r="A18" s="67"/>
      <c r="B18" s="67"/>
      <c r="C18" s="67"/>
      <c r="D18" s="67"/>
      <c r="E18" s="67"/>
      <c r="F18" s="67"/>
      <c r="G18" s="67"/>
      <c r="H18" s="67"/>
      <c r="I18" s="67"/>
      <c r="J18" s="67"/>
      <c r="K18" s="67"/>
    </row>
    <row r="19" spans="1:11" x14ac:dyDescent="0.25">
      <c r="A19" s="67"/>
      <c r="B19" s="112"/>
      <c r="C19" s="67"/>
      <c r="D19" s="67"/>
      <c r="E19" s="67"/>
      <c r="F19" s="67"/>
      <c r="G19" s="67"/>
      <c r="H19" s="67"/>
      <c r="I19" s="67"/>
      <c r="J19" s="67"/>
      <c r="K19" s="67"/>
    </row>
    <row r="20" spans="1:11" ht="18.75" x14ac:dyDescent="0.3">
      <c r="A20" s="67"/>
      <c r="B20" s="80" t="s">
        <v>54</v>
      </c>
      <c r="C20" s="67"/>
      <c r="D20" s="67"/>
      <c r="E20" s="67"/>
      <c r="F20" s="67"/>
      <c r="G20" s="67"/>
      <c r="H20" s="67"/>
      <c r="I20" s="67"/>
      <c r="J20" s="67"/>
      <c r="K20" s="67"/>
    </row>
    <row r="21" spans="1:11" x14ac:dyDescent="0.25">
      <c r="A21" s="67"/>
      <c r="B21" s="67"/>
      <c r="C21" s="67"/>
      <c r="D21" s="67"/>
      <c r="E21" s="67"/>
      <c r="F21" s="67"/>
      <c r="G21" s="67"/>
      <c r="H21" s="67"/>
      <c r="I21" s="67"/>
      <c r="J21" s="67"/>
      <c r="K21" s="67"/>
    </row>
    <row r="22" spans="1:11" ht="18.75" x14ac:dyDescent="0.3">
      <c r="A22" s="67"/>
      <c r="B22" s="63" t="s">
        <v>261</v>
      </c>
      <c r="C22" s="64"/>
      <c r="D22" s="65"/>
      <c r="E22" s="65"/>
      <c r="F22" s="65"/>
      <c r="G22" s="65"/>
      <c r="H22" s="66"/>
      <c r="I22" s="67"/>
      <c r="J22" s="67"/>
      <c r="K22" s="67"/>
    </row>
    <row r="23" spans="1:11" ht="15.75" thickBot="1" x14ac:dyDescent="0.3">
      <c r="A23" s="67"/>
      <c r="B23" s="68"/>
      <c r="C23" s="69"/>
      <c r="D23" s="69"/>
      <c r="E23" s="69"/>
      <c r="F23" s="69"/>
      <c r="G23" s="69"/>
      <c r="H23" s="70"/>
      <c r="I23" s="67"/>
      <c r="J23" s="67"/>
      <c r="K23" s="67"/>
    </row>
    <row r="24" spans="1:11" ht="17.25" thickTop="1" thickBot="1" x14ac:dyDescent="0.3">
      <c r="A24" s="67"/>
      <c r="B24" s="71" t="s">
        <v>0</v>
      </c>
      <c r="C24" s="69"/>
      <c r="D24" s="69"/>
      <c r="E24" s="113">
        <v>0.85</v>
      </c>
      <c r="F24" s="69" t="s">
        <v>5</v>
      </c>
      <c r="G24" s="67"/>
      <c r="H24" s="70"/>
      <c r="I24" s="67"/>
      <c r="J24" s="67"/>
      <c r="K24" s="67"/>
    </row>
    <row r="25" spans="1:11" ht="16.5" thickTop="1" thickBot="1" x14ac:dyDescent="0.3">
      <c r="A25" s="67"/>
      <c r="B25" s="68"/>
      <c r="C25" s="69"/>
      <c r="D25" s="69"/>
      <c r="E25" s="69"/>
      <c r="F25" s="69"/>
      <c r="G25" s="69"/>
      <c r="H25" s="70"/>
      <c r="I25" s="67"/>
      <c r="J25" s="67"/>
      <c r="K25" s="67"/>
    </row>
    <row r="26" spans="1:11" ht="17.25" thickTop="1" thickBot="1" x14ac:dyDescent="0.3">
      <c r="A26" s="67"/>
      <c r="B26" s="71" t="s">
        <v>1</v>
      </c>
      <c r="C26" s="69"/>
      <c r="D26" s="69"/>
      <c r="E26" s="113">
        <v>1.32</v>
      </c>
      <c r="F26" s="69" t="s">
        <v>5</v>
      </c>
      <c r="G26" s="93" t="str">
        <f>IF(AND(E31=0),IF(AND(E38=E24),"AGLI ESTREMI","NEI SETTORI"),"NEI SETTORI")</f>
        <v>NEI SETTORI</v>
      </c>
      <c r="H26" s="70"/>
      <c r="I26" s="67"/>
      <c r="J26" s="67"/>
      <c r="K26" s="67"/>
    </row>
    <row r="27" spans="1:11" ht="16.5" thickTop="1" thickBot="1" x14ac:dyDescent="0.3">
      <c r="A27" s="67"/>
      <c r="B27" s="68"/>
      <c r="C27" s="69"/>
      <c r="D27" s="69"/>
      <c r="E27" s="69"/>
      <c r="F27" s="69"/>
      <c r="G27" s="69"/>
      <c r="H27" s="70"/>
      <c r="I27" s="67"/>
      <c r="J27" s="67"/>
      <c r="K27" s="67"/>
    </row>
    <row r="28" spans="1:11" ht="17.25" thickTop="1" thickBot="1" x14ac:dyDescent="0.3">
      <c r="A28" s="67"/>
      <c r="B28" s="71" t="s">
        <v>2</v>
      </c>
      <c r="C28" s="69"/>
      <c r="D28" s="69"/>
      <c r="E28" s="113">
        <v>0.01</v>
      </c>
      <c r="F28" s="69" t="s">
        <v>5</v>
      </c>
      <c r="G28" s="69"/>
      <c r="H28" s="70"/>
      <c r="I28" s="67"/>
      <c r="J28" s="67"/>
      <c r="K28" s="67"/>
    </row>
    <row r="29" spans="1:11" ht="16.5" thickTop="1" x14ac:dyDescent="0.25">
      <c r="A29" s="67"/>
      <c r="B29" s="71"/>
      <c r="C29" s="69"/>
      <c r="D29" s="69"/>
      <c r="E29" s="104"/>
      <c r="F29" s="69"/>
      <c r="G29" s="69"/>
      <c r="H29" s="70"/>
      <c r="I29" s="67"/>
      <c r="J29" s="67"/>
      <c r="K29" s="67"/>
    </row>
    <row r="30" spans="1:11" ht="15.75" thickBot="1" x14ac:dyDescent="0.3">
      <c r="A30" s="67"/>
      <c r="B30" s="68"/>
      <c r="C30" s="69"/>
      <c r="D30" s="69"/>
      <c r="E30" s="69"/>
      <c r="F30" s="69"/>
      <c r="G30" s="69"/>
      <c r="H30" s="70"/>
      <c r="I30" s="67"/>
      <c r="J30" s="67"/>
      <c r="K30" s="67"/>
    </row>
    <row r="31" spans="1:11" ht="17.25" thickTop="1" thickBot="1" x14ac:dyDescent="0.3">
      <c r="A31" s="67"/>
      <c r="B31" s="99" t="s">
        <v>254</v>
      </c>
      <c r="C31" s="100"/>
      <c r="D31" s="101"/>
      <c r="E31" s="113">
        <v>0.10200000000000001</v>
      </c>
      <c r="F31" s="69" t="s">
        <v>5</v>
      </c>
      <c r="G31" s="67"/>
      <c r="H31" s="70"/>
      <c r="I31" s="67"/>
      <c r="J31" s="67"/>
      <c r="K31" s="67"/>
    </row>
    <row r="32" spans="1:11" ht="16.5" thickTop="1" x14ac:dyDescent="0.25">
      <c r="A32" s="67"/>
      <c r="B32" s="102"/>
      <c r="C32" s="103"/>
      <c r="D32" s="103"/>
      <c r="E32" s="104"/>
      <c r="F32" s="69"/>
      <c r="G32" s="67"/>
      <c r="H32" s="70"/>
      <c r="I32" s="67"/>
      <c r="J32" s="67"/>
      <c r="K32" s="67"/>
    </row>
    <row r="33" spans="1:11" ht="15.75" x14ac:dyDescent="0.25">
      <c r="A33" s="67"/>
      <c r="B33" s="102"/>
      <c r="C33" s="103"/>
      <c r="D33" s="103"/>
      <c r="E33" s="104"/>
      <c r="F33" s="69"/>
      <c r="G33" s="67"/>
      <c r="H33" s="70"/>
      <c r="I33" s="67"/>
      <c r="J33" s="67"/>
      <c r="K33" s="67"/>
    </row>
    <row r="34" spans="1:11" ht="15.75" x14ac:dyDescent="0.25">
      <c r="A34" s="67"/>
      <c r="B34" s="102"/>
      <c r="C34" s="103"/>
      <c r="D34" s="105" t="s">
        <v>265</v>
      </c>
      <c r="E34" s="104"/>
      <c r="F34" s="69"/>
      <c r="G34" s="67"/>
      <c r="H34" s="70"/>
      <c r="I34" s="67"/>
      <c r="J34" s="67"/>
      <c r="K34" s="67"/>
    </row>
    <row r="35" spans="1:11" ht="15.75" x14ac:dyDescent="0.25">
      <c r="A35" s="67"/>
      <c r="B35" s="102"/>
      <c r="C35" s="103"/>
      <c r="D35" s="103"/>
      <c r="E35" s="104"/>
      <c r="F35" s="69"/>
      <c r="G35" s="67"/>
      <c r="H35" s="70"/>
      <c r="I35" s="67"/>
      <c r="J35" s="67"/>
      <c r="K35" s="67"/>
    </row>
    <row r="36" spans="1:11" ht="15.75" x14ac:dyDescent="0.25">
      <c r="A36" s="67"/>
      <c r="B36" s="102"/>
      <c r="C36" s="103"/>
      <c r="D36" s="103"/>
      <c r="E36" s="104"/>
      <c r="F36" s="69"/>
      <c r="G36" s="67"/>
      <c r="H36" s="70"/>
      <c r="I36" s="67"/>
      <c r="J36" s="67"/>
      <c r="K36" s="67"/>
    </row>
    <row r="37" spans="1:11" ht="15.75" thickBot="1" x14ac:dyDescent="0.3">
      <c r="A37" s="67"/>
      <c r="B37" s="68"/>
      <c r="C37" s="69"/>
      <c r="D37" s="69"/>
      <c r="E37" s="72"/>
      <c r="F37" s="69"/>
      <c r="G37" s="67"/>
      <c r="H37" s="70"/>
      <c r="I37" s="67"/>
      <c r="J37" s="67"/>
      <c r="K37" s="67"/>
    </row>
    <row r="38" spans="1:11" ht="17.25" thickTop="1" thickBot="1" x14ac:dyDescent="0.3">
      <c r="A38" s="67"/>
      <c r="B38" s="99" t="s">
        <v>255</v>
      </c>
      <c r="C38" s="100"/>
      <c r="D38" s="101"/>
      <c r="E38" s="114">
        <v>0.84150000000000003</v>
      </c>
      <c r="F38" s="69" t="s">
        <v>5</v>
      </c>
      <c r="G38" s="74"/>
      <c r="H38" s="70"/>
      <c r="I38" s="67"/>
      <c r="J38" s="67"/>
      <c r="K38" s="67"/>
    </row>
    <row r="39" spans="1:11" ht="15.75" thickTop="1" x14ac:dyDescent="0.25">
      <c r="A39" s="67"/>
      <c r="B39" s="68"/>
      <c r="C39" s="69"/>
      <c r="D39" s="69"/>
      <c r="E39" s="69"/>
      <c r="F39" s="69"/>
      <c r="G39" s="69"/>
      <c r="H39" s="70"/>
      <c r="I39" s="67"/>
      <c r="J39" s="67"/>
      <c r="K39" s="67"/>
    </row>
    <row r="40" spans="1:11" x14ac:dyDescent="0.25">
      <c r="A40" s="67"/>
      <c r="B40" s="68"/>
      <c r="C40" s="69"/>
      <c r="D40" s="69"/>
      <c r="E40" s="69"/>
      <c r="F40" s="69"/>
      <c r="G40" s="69"/>
      <c r="H40" s="70"/>
      <c r="I40" s="67"/>
      <c r="J40" s="67"/>
      <c r="K40" s="67"/>
    </row>
    <row r="41" spans="1:11" ht="18.75" x14ac:dyDescent="0.3">
      <c r="A41" s="67"/>
      <c r="B41" s="73" t="s">
        <v>262</v>
      </c>
      <c r="C41" s="69"/>
      <c r="D41" s="69"/>
      <c r="E41" s="69"/>
      <c r="F41" s="69"/>
      <c r="G41" s="67"/>
      <c r="H41" s="70"/>
      <c r="I41" s="67"/>
      <c r="J41" s="67"/>
      <c r="K41" s="67"/>
    </row>
    <row r="42" spans="1:11" ht="15.75" thickBot="1" x14ac:dyDescent="0.3">
      <c r="A42" s="67"/>
      <c r="B42" s="68"/>
      <c r="C42" s="67"/>
      <c r="D42" s="67"/>
      <c r="E42" s="67"/>
      <c r="F42" s="67"/>
      <c r="G42" s="67"/>
      <c r="H42" s="70"/>
      <c r="I42" s="67"/>
      <c r="J42" s="67"/>
      <c r="K42" s="67"/>
    </row>
    <row r="43" spans="1:11" ht="17.25" thickTop="1" thickBot="1" x14ac:dyDescent="0.3">
      <c r="A43" s="67"/>
      <c r="B43" s="68"/>
      <c r="C43" s="115" t="s">
        <v>260</v>
      </c>
      <c r="D43" s="116"/>
      <c r="E43" s="116"/>
      <c r="F43" s="117"/>
      <c r="G43" s="67"/>
      <c r="H43" s="70"/>
      <c r="I43" s="67"/>
      <c r="J43" s="67"/>
      <c r="K43" s="67"/>
    </row>
    <row r="44" spans="1:11" ht="15.75" thickTop="1" x14ac:dyDescent="0.25">
      <c r="A44" s="67"/>
      <c r="B44" s="77"/>
      <c r="C44" s="78"/>
      <c r="D44" s="78"/>
      <c r="E44" s="78"/>
      <c r="F44" s="78"/>
      <c r="G44" s="78"/>
      <c r="H44" s="79"/>
      <c r="I44" s="67"/>
      <c r="J44" s="67"/>
      <c r="K44" s="67"/>
    </row>
    <row r="45" spans="1:11" x14ac:dyDescent="0.25">
      <c r="A45" s="67"/>
      <c r="B45" s="97" t="s">
        <v>264</v>
      </c>
      <c r="C45" s="97"/>
      <c r="D45" s="97"/>
      <c r="E45" s="97"/>
      <c r="F45" s="97"/>
      <c r="G45" s="97"/>
      <c r="H45" s="97"/>
      <c r="I45" s="67"/>
      <c r="J45" s="67"/>
      <c r="K45" s="67"/>
    </row>
    <row r="46" spans="1:11" x14ac:dyDescent="0.25">
      <c r="A46" s="67"/>
      <c r="B46" s="98" t="s">
        <v>253</v>
      </c>
      <c r="C46" s="98"/>
      <c r="D46" s="98"/>
      <c r="E46" s="98"/>
      <c r="F46" s="98"/>
      <c r="G46" s="98"/>
      <c r="H46" s="98"/>
      <c r="I46" s="67"/>
      <c r="J46" s="67"/>
      <c r="K46" s="67"/>
    </row>
    <row r="47" spans="1:11" x14ac:dyDescent="0.25">
      <c r="A47" s="67"/>
      <c r="B47" s="67"/>
      <c r="C47" s="67"/>
      <c r="D47" s="67"/>
      <c r="E47" s="67"/>
      <c r="F47" s="67"/>
      <c r="G47" s="67"/>
      <c r="H47" s="67"/>
      <c r="I47" s="67"/>
      <c r="J47" s="67"/>
      <c r="K47" s="67"/>
    </row>
    <row r="48" spans="1:11" ht="18.75" x14ac:dyDescent="0.3">
      <c r="A48" s="67"/>
      <c r="B48" s="80" t="s">
        <v>55</v>
      </c>
      <c r="C48" s="67"/>
      <c r="D48" s="67"/>
      <c r="E48" s="67"/>
      <c r="F48" s="67"/>
      <c r="G48" s="67"/>
      <c r="H48" s="67"/>
      <c r="I48" s="67"/>
      <c r="J48" s="67"/>
      <c r="K48" s="67"/>
    </row>
    <row r="49" spans="1:11" x14ac:dyDescent="0.25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</row>
    <row r="50" spans="1:11" ht="18.75" x14ac:dyDescent="0.3">
      <c r="A50" s="67"/>
      <c r="B50" s="63" t="s">
        <v>3</v>
      </c>
      <c r="C50" s="65"/>
      <c r="D50" s="65"/>
      <c r="E50" s="81">
        <f>'INTEGRALI DI EFFLUSSO'!C134+'INTEGRALI DI EFFLUSSO'!C136</f>
        <v>3990.135346531345</v>
      </c>
      <c r="F50" s="82" t="s">
        <v>8</v>
      </c>
      <c r="G50" s="83">
        <f>E50/60</f>
        <v>66.502255775522414</v>
      </c>
      <c r="H50" s="84" t="s">
        <v>9</v>
      </c>
      <c r="I50" s="67"/>
      <c r="J50" s="67"/>
      <c r="K50" s="67"/>
    </row>
    <row r="51" spans="1:11" x14ac:dyDescent="0.25">
      <c r="A51" s="67"/>
      <c r="B51" s="68"/>
      <c r="C51" s="69"/>
      <c r="D51" s="69"/>
      <c r="E51" s="69"/>
      <c r="F51" s="69"/>
      <c r="G51" s="69"/>
      <c r="H51" s="70"/>
      <c r="I51" s="67"/>
      <c r="J51" s="67"/>
      <c r="K51" s="67"/>
    </row>
    <row r="52" spans="1:11" ht="18.75" x14ac:dyDescent="0.3">
      <c r="A52" s="67"/>
      <c r="B52" s="73" t="s">
        <v>17</v>
      </c>
      <c r="C52" s="69"/>
      <c r="D52" s="69"/>
      <c r="E52" s="85">
        <f>(2*9.806*(E38-E31))^(1/2)</f>
        <v>3.8082901675161254</v>
      </c>
      <c r="F52" s="86" t="s">
        <v>18</v>
      </c>
      <c r="G52" s="87">
        <f>E52*3.6</f>
        <v>13.709844603058052</v>
      </c>
      <c r="H52" s="88" t="s">
        <v>32</v>
      </c>
      <c r="I52" s="67"/>
      <c r="J52" s="67"/>
      <c r="K52" s="67"/>
    </row>
    <row r="53" spans="1:11" x14ac:dyDescent="0.25">
      <c r="A53" s="67"/>
      <c r="B53" s="68"/>
      <c r="C53" s="69"/>
      <c r="D53" s="69"/>
      <c r="E53" s="69"/>
      <c r="F53" s="69"/>
      <c r="G53" s="69"/>
      <c r="H53" s="70"/>
      <c r="I53" s="67"/>
      <c r="J53" s="67"/>
      <c r="K53" s="67"/>
    </row>
    <row r="54" spans="1:11" ht="18.75" x14ac:dyDescent="0.3">
      <c r="A54" s="67"/>
      <c r="B54" s="73" t="s">
        <v>14</v>
      </c>
      <c r="C54" s="69"/>
      <c r="D54" s="69"/>
      <c r="E54" s="85">
        <f>(E24/2)^2*3.14159*E26</f>
        <v>0.74903359574999984</v>
      </c>
      <c r="F54" s="86" t="s">
        <v>258</v>
      </c>
      <c r="G54" s="87">
        <f>E54*1000</f>
        <v>749.03359574999979</v>
      </c>
      <c r="H54" s="88" t="s">
        <v>33</v>
      </c>
      <c r="I54" s="67"/>
      <c r="J54" s="67"/>
      <c r="K54" s="67"/>
    </row>
    <row r="55" spans="1:11" x14ac:dyDescent="0.25">
      <c r="A55" s="67"/>
      <c r="B55" s="68"/>
      <c r="C55" s="69"/>
      <c r="D55" s="69"/>
      <c r="E55" s="69"/>
      <c r="F55" s="69"/>
      <c r="G55" s="69"/>
      <c r="H55" s="70"/>
      <c r="I55" s="67"/>
      <c r="J55" s="67"/>
      <c r="K55" s="67"/>
    </row>
    <row r="56" spans="1:11" ht="18.75" x14ac:dyDescent="0.3">
      <c r="A56" s="67"/>
      <c r="B56" s="73" t="s">
        <v>26</v>
      </c>
      <c r="C56" s="69"/>
      <c r="D56" s="69"/>
      <c r="E56" s="85">
        <f>($E$24/2)^2*$E$26*(PI()-ACOS(1-2*$E$31/$E$24)+SIN(ACOS(1-2*$E$31/$E$24))*COS(ACOS(1-2*$E$31/$E$24)))</f>
        <v>0.69812055414647656</v>
      </c>
      <c r="F56" s="86" t="s">
        <v>258</v>
      </c>
      <c r="G56" s="87">
        <f t="shared" ref="G56" si="0">E56*1000</f>
        <v>698.12055414647659</v>
      </c>
      <c r="H56" s="88" t="s">
        <v>33</v>
      </c>
      <c r="I56" s="67"/>
      <c r="J56" s="67"/>
      <c r="K56" s="67"/>
    </row>
    <row r="57" spans="1:11" x14ac:dyDescent="0.25">
      <c r="A57" s="67"/>
      <c r="B57" s="68"/>
      <c r="C57" s="69"/>
      <c r="D57" s="69"/>
      <c r="E57" s="69"/>
      <c r="F57" s="69"/>
      <c r="G57" s="69"/>
      <c r="H57" s="70"/>
      <c r="I57" s="67"/>
      <c r="J57" s="67"/>
      <c r="K57" s="67"/>
    </row>
    <row r="58" spans="1:11" ht="18.75" x14ac:dyDescent="0.3">
      <c r="A58" s="67"/>
      <c r="B58" s="73" t="s">
        <v>27</v>
      </c>
      <c r="C58" s="69"/>
      <c r="D58" s="69"/>
      <c r="E58" s="85">
        <f>(($E$24/2)^2*$E$26*(PI()-ACOS(1-2*$E$31/$E$24)+SIN(ACOS(1-2*$E$31/$E$24))*COS(ACOS(1-2*$E$31/$E$24))))-(($E$24/2)^2*$E$26*(PI()-ACOS(1-2*$E$38/$E$24)+SIN(ACOS(1-2*$E$38/$E$24))*COS(ACOS(1-2*$E$38/$E$24))))</f>
        <v>0.6968527757852474</v>
      </c>
      <c r="F58" s="86" t="s">
        <v>258</v>
      </c>
      <c r="G58" s="87">
        <f>E58*1000</f>
        <v>696.85277578524745</v>
      </c>
      <c r="H58" s="88" t="s">
        <v>33</v>
      </c>
      <c r="I58" s="67"/>
      <c r="J58" s="67"/>
      <c r="K58" s="67"/>
    </row>
    <row r="59" spans="1:11" x14ac:dyDescent="0.25">
      <c r="A59" s="67"/>
      <c r="B59" s="68"/>
      <c r="C59" s="69"/>
      <c r="D59" s="69"/>
      <c r="E59" s="69"/>
      <c r="F59" s="69"/>
      <c r="G59" s="69"/>
      <c r="H59" s="70"/>
      <c r="I59" s="67"/>
      <c r="J59" s="67"/>
      <c r="K59" s="67"/>
    </row>
    <row r="60" spans="1:11" ht="18.75" x14ac:dyDescent="0.3">
      <c r="A60" s="67"/>
      <c r="B60" s="73" t="s">
        <v>246</v>
      </c>
      <c r="C60" s="69"/>
      <c r="D60" s="69"/>
      <c r="E60" s="85">
        <f>E56-E58</f>
        <v>1.2677783612291549E-3</v>
      </c>
      <c r="F60" s="86" t="s">
        <v>258</v>
      </c>
      <c r="G60" s="87">
        <f>E60*1000</f>
        <v>1.2677783612291549</v>
      </c>
      <c r="H60" s="88" t="s">
        <v>33</v>
      </c>
      <c r="I60" s="67"/>
      <c r="J60" s="67"/>
      <c r="K60" s="67"/>
    </row>
    <row r="61" spans="1:11" x14ac:dyDescent="0.25">
      <c r="A61" s="67"/>
      <c r="B61" s="77"/>
      <c r="C61" s="78"/>
      <c r="D61" s="78"/>
      <c r="E61" s="78"/>
      <c r="F61" s="78"/>
      <c r="G61" s="78"/>
      <c r="H61" s="79"/>
      <c r="I61" s="67"/>
      <c r="J61" s="67"/>
      <c r="K61" s="67"/>
    </row>
    <row r="62" spans="1:11" x14ac:dyDescent="0.25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</row>
    <row r="63" spans="1:11" ht="15.75" x14ac:dyDescent="0.25">
      <c r="D63" s="24"/>
    </row>
    <row r="65" spans="7:7" ht="15.75" x14ac:dyDescent="0.25">
      <c r="G65" s="24"/>
    </row>
  </sheetData>
  <sheetProtection algorithmName="SHA-512" hashValue="GJ6WN/UdbpVmB9TjbB5r/YWsQD85XzKhvETwXYUSbS/23/RrNOq6PDgXDjIOsOqPScXd7UdtcWxaxI00Xv2ppA==" saltValue="9XV0EQNZ93NBaS+SEIHRfg==" spinCount="100000" sheet="1" objects="1" scenarios="1" selectLockedCells="1"/>
  <protectedRanges>
    <protectedRange sqref="E24 E26 E28:E29 E31:E36 E38" name="Intervallo1"/>
  </protectedRanges>
  <mergeCells count="6">
    <mergeCell ref="B2:H2"/>
    <mergeCell ref="B45:H45"/>
    <mergeCell ref="B46:H46"/>
    <mergeCell ref="C43:F43"/>
    <mergeCell ref="B31:D31"/>
    <mergeCell ref="B38:D38"/>
  </mergeCells>
  <dataValidations count="2">
    <dataValidation type="list" allowBlank="1" showInputMessage="1" showErrorMessage="1" sqref="C43">
      <formula1>luc</formula1>
    </dataValidation>
    <dataValidation type="list" allowBlank="1" showInputMessage="1" showErrorMessage="1" sqref="E38 E31">
      <formula1>diam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showGridLines="0" workbookViewId="0">
      <selection activeCell="M7" sqref="M7"/>
    </sheetView>
  </sheetViews>
  <sheetFormatPr defaultRowHeight="15" x14ac:dyDescent="0.25"/>
  <cols>
    <col min="1" max="1" width="6.5703125" customWidth="1"/>
    <col min="6" max="6" width="10.140625" customWidth="1"/>
    <col min="7" max="7" width="25.140625" customWidth="1"/>
    <col min="8" max="8" width="16.42578125" customWidth="1"/>
  </cols>
  <sheetData>
    <row r="1" spans="1:13" x14ac:dyDescent="0.25">
      <c r="A1" s="67"/>
      <c r="B1" s="67"/>
      <c r="C1" s="67"/>
      <c r="D1" s="67"/>
      <c r="E1" s="67"/>
      <c r="F1" s="67"/>
      <c r="G1" s="67"/>
      <c r="H1" s="67"/>
      <c r="I1" s="67"/>
      <c r="J1" s="67"/>
    </row>
    <row r="2" spans="1:13" ht="21" x14ac:dyDescent="0.35">
      <c r="A2" s="67"/>
      <c r="B2" s="106" t="s">
        <v>238</v>
      </c>
      <c r="C2" s="67"/>
      <c r="D2" s="67"/>
      <c r="E2" s="67"/>
      <c r="F2" s="67"/>
      <c r="G2" s="67"/>
      <c r="H2" s="67"/>
      <c r="I2" s="67"/>
      <c r="J2" s="67"/>
    </row>
    <row r="3" spans="1:13" x14ac:dyDescent="0.25">
      <c r="A3" s="67"/>
      <c r="B3" s="67"/>
      <c r="C3" s="67"/>
      <c r="D3" s="67"/>
      <c r="E3" s="67"/>
      <c r="F3" s="67"/>
      <c r="G3" s="67"/>
      <c r="H3" s="67"/>
      <c r="I3" s="67"/>
      <c r="J3" s="89"/>
      <c r="K3" s="16"/>
      <c r="M3" s="41"/>
    </row>
    <row r="4" spans="1:13" ht="18.75" x14ac:dyDescent="0.3">
      <c r="A4" s="67"/>
      <c r="B4" s="107" t="s">
        <v>240</v>
      </c>
      <c r="C4" s="67"/>
      <c r="D4" s="67"/>
      <c r="E4" s="67"/>
      <c r="F4" s="67"/>
      <c r="G4" s="67"/>
      <c r="H4" s="108">
        <f>'INTEGRALI DI AREA'!I123*2</f>
        <v>0.52676043132023231</v>
      </c>
      <c r="I4" s="108" t="s">
        <v>257</v>
      </c>
      <c r="J4" s="67"/>
    </row>
    <row r="5" spans="1:13" x14ac:dyDescent="0.25">
      <c r="A5" s="67"/>
      <c r="B5" s="67"/>
      <c r="C5" s="67"/>
      <c r="D5" s="67"/>
      <c r="E5" s="67"/>
      <c r="F5" s="67"/>
      <c r="G5" s="67"/>
      <c r="H5" s="67"/>
      <c r="I5" s="67"/>
      <c r="J5" s="89"/>
      <c r="K5" s="16"/>
    </row>
    <row r="6" spans="1:13" x14ac:dyDescent="0.25">
      <c r="A6" s="67"/>
      <c r="B6" s="67"/>
      <c r="C6" s="67"/>
      <c r="D6" s="67"/>
      <c r="E6" s="67"/>
      <c r="F6" s="67"/>
      <c r="G6" s="67"/>
      <c r="H6" s="67"/>
      <c r="I6" s="67"/>
      <c r="J6" s="109"/>
      <c r="K6" s="16"/>
      <c r="M6" s="41"/>
    </row>
    <row r="7" spans="1:13" ht="18.75" x14ac:dyDescent="0.3">
      <c r="A7" s="67"/>
      <c r="B7" s="107" t="s">
        <v>237</v>
      </c>
      <c r="C7" s="67"/>
      <c r="D7" s="67"/>
      <c r="E7" s="67"/>
      <c r="F7" s="67"/>
      <c r="G7" s="67"/>
      <c r="H7" s="108">
        <f>H4*CALCOLO!E26</f>
        <v>0.69532376934270668</v>
      </c>
      <c r="I7" s="108" t="s">
        <v>258</v>
      </c>
      <c r="J7" s="67"/>
    </row>
    <row r="8" spans="1:13" x14ac:dyDescent="0.25">
      <c r="A8" s="67"/>
      <c r="B8" s="67"/>
      <c r="C8" s="67"/>
      <c r="D8" s="67"/>
      <c r="E8" s="67"/>
      <c r="F8" s="67"/>
      <c r="G8" s="67"/>
      <c r="H8" s="67"/>
      <c r="I8" s="67"/>
      <c r="J8" s="89"/>
      <c r="K8" s="16"/>
    </row>
    <row r="9" spans="1:13" ht="15.75" x14ac:dyDescent="0.25">
      <c r="A9" s="67"/>
      <c r="B9" s="110" t="s">
        <v>239</v>
      </c>
      <c r="C9" s="110"/>
      <c r="D9" s="110"/>
      <c r="E9" s="110"/>
      <c r="F9" s="67"/>
      <c r="G9" s="67"/>
      <c r="H9" s="67"/>
      <c r="I9" s="67"/>
      <c r="J9" s="109"/>
      <c r="K9" s="16"/>
      <c r="M9" s="41"/>
    </row>
    <row r="10" spans="1:13" x14ac:dyDescent="0.25">
      <c r="A10" s="67"/>
      <c r="B10" s="67"/>
      <c r="C10" s="67"/>
      <c r="D10" s="67"/>
      <c r="E10" s="67"/>
      <c r="F10" s="67"/>
      <c r="G10" s="67"/>
      <c r="H10" s="67"/>
      <c r="I10" s="67"/>
      <c r="J10" s="67"/>
    </row>
    <row r="11" spans="1:13" x14ac:dyDescent="0.25">
      <c r="A11" s="67"/>
      <c r="B11" s="67" t="s">
        <v>243</v>
      </c>
      <c r="C11" s="67"/>
      <c r="D11" s="67"/>
      <c r="E11" s="67"/>
      <c r="F11" s="67"/>
      <c r="G11" s="67"/>
      <c r="H11" s="67"/>
      <c r="I11" s="67"/>
      <c r="J11" s="67"/>
    </row>
    <row r="12" spans="1:13" ht="15.75" x14ac:dyDescent="0.25">
      <c r="A12" s="67"/>
      <c r="B12" s="110"/>
      <c r="C12" s="110"/>
      <c r="D12" s="110"/>
      <c r="E12" s="110"/>
      <c r="F12" s="110"/>
      <c r="G12" s="110"/>
      <c r="H12" s="110"/>
      <c r="I12" s="110"/>
      <c r="J12" s="67"/>
    </row>
    <row r="13" spans="1:13" ht="15.75" x14ac:dyDescent="0.25">
      <c r="A13" s="67"/>
      <c r="B13" s="67"/>
      <c r="C13" s="67"/>
      <c r="D13" s="67"/>
      <c r="E13" s="67"/>
      <c r="F13" s="67"/>
      <c r="G13" s="67"/>
      <c r="H13" s="111" t="s">
        <v>248</v>
      </c>
      <c r="I13" s="111"/>
      <c r="J13" s="67"/>
    </row>
    <row r="14" spans="1:13" x14ac:dyDescent="0.25">
      <c r="A14" s="67"/>
      <c r="B14" s="67"/>
      <c r="C14" s="67"/>
      <c r="D14" s="67"/>
      <c r="E14" s="67"/>
      <c r="F14" s="67"/>
      <c r="G14" s="67"/>
      <c r="H14" s="67"/>
      <c r="I14" s="67"/>
      <c r="J14" s="67"/>
    </row>
    <row r="15" spans="1:13" x14ac:dyDescent="0.25">
      <c r="A15" s="67"/>
      <c r="B15" s="67"/>
      <c r="C15" s="67"/>
      <c r="D15" s="67"/>
      <c r="E15" s="67"/>
      <c r="F15" s="67"/>
      <c r="G15" s="67"/>
      <c r="H15" s="67"/>
      <c r="I15" s="67"/>
      <c r="J15" s="67"/>
    </row>
    <row r="16" spans="1:13" x14ac:dyDescent="0.25">
      <c r="A16" s="67"/>
      <c r="B16" s="67"/>
      <c r="C16" s="67"/>
      <c r="D16" s="67"/>
      <c r="E16" s="67"/>
      <c r="F16" s="67"/>
      <c r="G16" s="67"/>
      <c r="H16" s="67"/>
      <c r="I16" s="67"/>
      <c r="J16" s="67"/>
    </row>
    <row r="17" spans="1:10" x14ac:dyDescent="0.25">
      <c r="A17" s="67"/>
      <c r="B17" s="67"/>
      <c r="C17" s="67"/>
      <c r="D17" s="67"/>
      <c r="E17" s="67"/>
      <c r="F17" s="67"/>
      <c r="G17" s="67"/>
      <c r="H17" s="67"/>
      <c r="I17" s="67"/>
      <c r="J17" s="67"/>
    </row>
    <row r="18" spans="1:10" x14ac:dyDescent="0.25">
      <c r="A18" s="67"/>
      <c r="B18" s="67"/>
      <c r="C18" s="67"/>
      <c r="D18" s="67"/>
      <c r="E18" s="67"/>
      <c r="F18" s="67"/>
      <c r="G18" s="67"/>
      <c r="H18" s="67"/>
      <c r="I18" s="67"/>
      <c r="J18" s="67"/>
    </row>
  </sheetData>
  <sheetProtection algorithmName="SHA-512" hashValue="9Bzz2qzAjRd93RdqgYmmjCxaRgO6TK5tn2fnTeMvSSaem9liunGpiq2oB5rJkiKcNqUULI2JXKjLtFNU7yfK8g==" saltValue="ezyYplapuwWfiviDt7I/Rw==" spinCount="100000" sheet="1" objects="1" scenarios="1" selectLockedCells="1" selectUnlockedCells="1"/>
  <mergeCells count="1">
    <mergeCell ref="H13:I13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showRowColHeaders="0" zoomScaleNormal="100" workbookViewId="0">
      <selection activeCell="B2" sqref="B2"/>
    </sheetView>
  </sheetViews>
  <sheetFormatPr defaultRowHeight="15" x14ac:dyDescent="0.25"/>
  <cols>
    <col min="1" max="1" width="3.5703125" customWidth="1"/>
  </cols>
  <sheetData>
    <row r="2" spans="1:7" ht="15.75" x14ac:dyDescent="0.25">
      <c r="B2" s="15" t="s">
        <v>34</v>
      </c>
    </row>
    <row r="4" spans="1:7" x14ac:dyDescent="0.25">
      <c r="B4" s="6" t="s">
        <v>31</v>
      </c>
      <c r="C4" s="14">
        <f>3/8*C7</f>
        <v>0.95250000000000001</v>
      </c>
      <c r="D4" t="s">
        <v>16</v>
      </c>
    </row>
    <row r="5" spans="1:7" x14ac:dyDescent="0.25">
      <c r="B5" s="6" t="s">
        <v>28</v>
      </c>
      <c r="C5" s="14">
        <f>1/2*C7</f>
        <v>1.27</v>
      </c>
      <c r="D5" t="s">
        <v>16</v>
      </c>
    </row>
    <row r="6" spans="1:7" x14ac:dyDescent="0.25">
      <c r="B6" s="6" t="s">
        <v>29</v>
      </c>
      <c r="C6" s="14">
        <f>3/4*C7</f>
        <v>1.905</v>
      </c>
      <c r="D6" t="s">
        <v>16</v>
      </c>
    </row>
    <row r="7" spans="1:7" x14ac:dyDescent="0.25">
      <c r="B7" s="6" t="s">
        <v>15</v>
      </c>
      <c r="C7" s="14">
        <v>2.54</v>
      </c>
      <c r="D7" t="s">
        <v>16</v>
      </c>
    </row>
    <row r="8" spans="1:7" x14ac:dyDescent="0.25">
      <c r="B8" s="6" t="s">
        <v>30</v>
      </c>
      <c r="C8" s="14">
        <f>2*C7</f>
        <v>5.08</v>
      </c>
      <c r="D8" t="s">
        <v>16</v>
      </c>
    </row>
    <row r="10" spans="1:7" ht="21" x14ac:dyDescent="0.35">
      <c r="B10" s="15" t="s">
        <v>24</v>
      </c>
      <c r="D10" s="8"/>
      <c r="E10" s="8"/>
    </row>
    <row r="11" spans="1:7" ht="15.75" x14ac:dyDescent="0.25">
      <c r="B11" s="10" t="s">
        <v>21</v>
      </c>
      <c r="C11" s="10"/>
      <c r="D11" s="10"/>
      <c r="E11" s="10"/>
      <c r="F11" s="9">
        <v>0.61</v>
      </c>
      <c r="G11" t="s">
        <v>20</v>
      </c>
    </row>
    <row r="12" spans="1:7" ht="15.75" x14ac:dyDescent="0.25">
      <c r="B12" s="10" t="s">
        <v>22</v>
      </c>
      <c r="C12" s="10"/>
      <c r="D12" s="10"/>
      <c r="E12" s="10"/>
      <c r="F12" s="9">
        <v>0.51</v>
      </c>
      <c r="G12" t="s">
        <v>20</v>
      </c>
    </row>
    <row r="13" spans="1:7" ht="15.75" x14ac:dyDescent="0.25">
      <c r="B13" s="10" t="s">
        <v>23</v>
      </c>
      <c r="C13" s="10"/>
      <c r="D13" s="10"/>
      <c r="E13" s="10"/>
      <c r="F13" s="9">
        <v>0.82</v>
      </c>
      <c r="G13" t="s">
        <v>20</v>
      </c>
    </row>
    <row r="14" spans="1:7" x14ac:dyDescent="0.25">
      <c r="A14" s="12"/>
    </row>
    <row r="15" spans="1:7" x14ac:dyDescent="0.25">
      <c r="F15" s="11"/>
    </row>
    <row r="16" spans="1:7" ht="15.75" x14ac:dyDescent="0.25">
      <c r="B16" s="15" t="s">
        <v>49</v>
      </c>
      <c r="F16" s="11"/>
    </row>
    <row r="17" spans="1:3" x14ac:dyDescent="0.25">
      <c r="A17" s="12"/>
    </row>
    <row r="18" spans="1:3" x14ac:dyDescent="0.25">
      <c r="B18" s="19"/>
      <c r="C18" t="s">
        <v>44</v>
      </c>
    </row>
    <row r="19" spans="1:3" x14ac:dyDescent="0.25">
      <c r="B19" s="20" t="s">
        <v>43</v>
      </c>
    </row>
    <row r="20" spans="1:3" x14ac:dyDescent="0.25">
      <c r="B20" s="19"/>
      <c r="C20" t="s">
        <v>51</v>
      </c>
    </row>
    <row r="23" spans="1:3" x14ac:dyDescent="0.25">
      <c r="B23" t="s">
        <v>45</v>
      </c>
    </row>
    <row r="25" spans="1:3" x14ac:dyDescent="0.25">
      <c r="B25" t="s">
        <v>48</v>
      </c>
    </row>
    <row r="27" spans="1:3" x14ac:dyDescent="0.25">
      <c r="B27" t="s">
        <v>47</v>
      </c>
    </row>
    <row r="29" spans="1:3" x14ac:dyDescent="0.25">
      <c r="B29" t="s">
        <v>46</v>
      </c>
    </row>
    <row r="31" spans="1:3" x14ac:dyDescent="0.25">
      <c r="B31" t="s">
        <v>50</v>
      </c>
    </row>
    <row r="34" spans="2:7" ht="15.75" x14ac:dyDescent="0.25">
      <c r="B34" s="15"/>
    </row>
    <row r="35" spans="2:7" ht="15.75" x14ac:dyDescent="0.25">
      <c r="G35" s="24"/>
    </row>
  </sheetData>
  <sheetProtection algorithmName="SHA-512" hashValue="WXycn0QXK4MKrNUDXCISL0QG29xCX5GlWXTU+S0QDZuW1oWOwiIiAxaYn/0E9w4DPFQpyw9SSW/pNw22qjoHwA==" saltValue="V/b7VVPVU2nYhXnTl4TWHQ==" spinCount="100000" sheet="1" objects="1" scenarios="1" selectLockedCells="1" selectUnlockedCell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44"/>
  <sheetViews>
    <sheetView workbookViewId="0">
      <selection activeCell="E134" sqref="E134"/>
    </sheetView>
  </sheetViews>
  <sheetFormatPr defaultRowHeight="15" x14ac:dyDescent="0.25"/>
  <cols>
    <col min="2" max="2" width="16.5703125" customWidth="1"/>
    <col min="5" max="5" width="17" customWidth="1"/>
  </cols>
  <sheetData>
    <row r="2" spans="2:8" ht="21" x14ac:dyDescent="0.35">
      <c r="C2" s="5" t="s">
        <v>244</v>
      </c>
    </row>
    <row r="4" spans="2:8" x14ac:dyDescent="0.25">
      <c r="D4" s="1">
        <f>SETTORI!C9</f>
        <v>0</v>
      </c>
      <c r="E4" t="s">
        <v>36</v>
      </c>
      <c r="H4" s="21"/>
    </row>
    <row r="5" spans="2:8" ht="18.75" x14ac:dyDescent="0.25">
      <c r="B5" s="30" t="s">
        <v>63</v>
      </c>
      <c r="C5">
        <f>(2/3)*EQUAZIONI!H65*'INTEGRALI DI EFFLUSSO'!D4^(3/2)-(2/3)*EQUAZIONI!H65*'INTEGRALI DI EFFLUSSO'!D6^(3/2)</f>
        <v>0</v>
      </c>
      <c r="E5" t="s">
        <v>10</v>
      </c>
      <c r="F5" s="6" t="s">
        <v>25</v>
      </c>
      <c r="G5" s="35">
        <f>CALCOLO!$E$24/2</f>
        <v>0.42499999999999999</v>
      </c>
      <c r="H5" s="21"/>
    </row>
    <row r="6" spans="2:8" x14ac:dyDescent="0.25">
      <c r="B6" s="36"/>
      <c r="D6" s="1">
        <f>SETTORI!C7</f>
        <v>0</v>
      </c>
      <c r="E6" t="s">
        <v>35</v>
      </c>
      <c r="F6" s="6"/>
      <c r="G6" s="35"/>
      <c r="H6" s="21"/>
    </row>
    <row r="7" spans="2:8" x14ac:dyDescent="0.25">
      <c r="B7" s="36"/>
      <c r="F7" s="6"/>
      <c r="G7" s="35"/>
      <c r="H7" s="21"/>
    </row>
    <row r="8" spans="2:8" x14ac:dyDescent="0.25">
      <c r="B8" s="36"/>
      <c r="F8" s="6"/>
      <c r="G8" s="35"/>
      <c r="H8" s="21"/>
    </row>
    <row r="9" spans="2:8" x14ac:dyDescent="0.25">
      <c r="B9" s="36"/>
      <c r="D9" s="1">
        <f>SETTORI!C14</f>
        <v>0</v>
      </c>
      <c r="E9" t="s">
        <v>37</v>
      </c>
      <c r="F9" s="6"/>
      <c r="G9" s="35"/>
      <c r="H9" s="21"/>
    </row>
    <row r="10" spans="2:8" ht="18.75" x14ac:dyDescent="0.25">
      <c r="B10" s="30" t="s">
        <v>64</v>
      </c>
      <c r="C10">
        <f>(2/3)*EQUAZIONI!H67*'INTEGRALI DI EFFLUSSO'!D9^(3/2)+2*EQUAZIONI!H68*'INTEGRALI DI EFFLUSSO'!D9^(1/2)-(2/3)*EQUAZIONI!H67*'INTEGRALI DI EFFLUSSO'!D11^(3/2)-2*EQUAZIONI!H68*'INTEGRALI DI EFFLUSSO'!D11^(1/2)</f>
        <v>0</v>
      </c>
      <c r="E10" t="s">
        <v>10</v>
      </c>
      <c r="F10" s="6" t="s">
        <v>25</v>
      </c>
      <c r="G10" s="35">
        <f>CALCOLO!$E$24/2</f>
        <v>0.42499999999999999</v>
      </c>
      <c r="H10" s="21"/>
    </row>
    <row r="11" spans="2:8" x14ac:dyDescent="0.25">
      <c r="B11" s="36"/>
      <c r="D11" s="1">
        <f>SETTORI!C12</f>
        <v>0</v>
      </c>
      <c r="E11" t="s">
        <v>36</v>
      </c>
      <c r="F11" s="6"/>
      <c r="G11" s="35"/>
      <c r="H11" s="21"/>
    </row>
    <row r="12" spans="2:8" x14ac:dyDescent="0.25">
      <c r="B12" s="36"/>
      <c r="F12" s="6"/>
      <c r="G12" s="35"/>
      <c r="H12" s="21"/>
    </row>
    <row r="13" spans="2:8" x14ac:dyDescent="0.25">
      <c r="B13" s="36"/>
      <c r="F13" s="6"/>
      <c r="G13" s="35"/>
      <c r="H13" s="21"/>
    </row>
    <row r="14" spans="2:8" x14ac:dyDescent="0.25">
      <c r="B14" s="36"/>
      <c r="D14" s="1">
        <f>SETTORI!C19</f>
        <v>0</v>
      </c>
      <c r="E14" t="s">
        <v>38</v>
      </c>
      <c r="F14" s="6"/>
      <c r="G14" s="35"/>
      <c r="H14" s="21"/>
    </row>
    <row r="15" spans="2:8" ht="18.75" x14ac:dyDescent="0.25">
      <c r="B15" s="30" t="s">
        <v>65</v>
      </c>
      <c r="C15">
        <f>(2/3)*EQUAZIONI!H69*'INTEGRALI DI EFFLUSSO'!D14^(3/2)+2*EQUAZIONI!H70*'INTEGRALI DI EFFLUSSO'!D14^(1/2)-(2/3)*EQUAZIONI!H69*'INTEGRALI DI EFFLUSSO'!D16^(3/2)-2*EQUAZIONI!H70*'INTEGRALI DI EFFLUSSO'!D16^(1/2)</f>
        <v>0</v>
      </c>
      <c r="E15" t="s">
        <v>10</v>
      </c>
      <c r="F15" s="6" t="s">
        <v>25</v>
      </c>
      <c r="G15" s="35">
        <f>CALCOLO!$E$24/2</f>
        <v>0.42499999999999999</v>
      </c>
      <c r="H15" s="21"/>
    </row>
    <row r="16" spans="2:8" x14ac:dyDescent="0.25">
      <c r="B16" s="36"/>
      <c r="D16" s="1">
        <f>SETTORI!C17</f>
        <v>0</v>
      </c>
      <c r="E16" t="s">
        <v>37</v>
      </c>
      <c r="F16" s="6"/>
      <c r="G16" s="35"/>
      <c r="H16" s="21"/>
    </row>
    <row r="17" spans="2:11" x14ac:dyDescent="0.25">
      <c r="B17" s="36"/>
      <c r="F17" s="6"/>
      <c r="G17" s="35"/>
      <c r="H17" s="21"/>
    </row>
    <row r="18" spans="2:11" x14ac:dyDescent="0.25">
      <c r="B18" s="36"/>
      <c r="F18" s="6"/>
      <c r="G18" s="35"/>
      <c r="H18" s="21"/>
    </row>
    <row r="19" spans="2:11" x14ac:dyDescent="0.25">
      <c r="B19" s="36"/>
      <c r="D19" s="1">
        <f>SETTORI!C24</f>
        <v>0</v>
      </c>
      <c r="E19" t="s">
        <v>39</v>
      </c>
      <c r="F19" s="6"/>
      <c r="G19" s="35"/>
      <c r="H19" s="21"/>
    </row>
    <row r="20" spans="2:11" ht="18.75" x14ac:dyDescent="0.25">
      <c r="B20" s="30" t="s">
        <v>66</v>
      </c>
      <c r="C20">
        <f>(2/3)*EQUAZIONI!H71*'INTEGRALI DI EFFLUSSO'!D19^(3/2)+2*EQUAZIONI!H72*'INTEGRALI DI EFFLUSSO'!D19^(1/2)-(2/3)*EQUAZIONI!H71*'INTEGRALI DI EFFLUSSO'!D21^(3/2)-2*EQUAZIONI!H72*'INTEGRALI DI EFFLUSSO'!D21^(1/2)</f>
        <v>0</v>
      </c>
      <c r="E20" t="s">
        <v>10</v>
      </c>
      <c r="F20" s="6" t="s">
        <v>25</v>
      </c>
      <c r="G20" s="35">
        <f>CALCOLO!$E$24/2</f>
        <v>0.42499999999999999</v>
      </c>
      <c r="H20" s="38"/>
      <c r="I20" s="28" t="s">
        <v>213</v>
      </c>
      <c r="J20">
        <f>C5+C10+C15+C20</f>
        <v>0</v>
      </c>
    </row>
    <row r="21" spans="2:11" x14ac:dyDescent="0.25">
      <c r="B21" s="36"/>
      <c r="D21" s="1">
        <f>SETTORI!C22</f>
        <v>0</v>
      </c>
      <c r="E21" t="s">
        <v>38</v>
      </c>
      <c r="F21" s="6"/>
      <c r="G21" s="35"/>
      <c r="H21" s="21"/>
    </row>
    <row r="22" spans="2:11" x14ac:dyDescent="0.25">
      <c r="B22" s="36"/>
      <c r="F22" s="6"/>
      <c r="G22" s="35"/>
      <c r="H22" s="21"/>
    </row>
    <row r="23" spans="2:11" x14ac:dyDescent="0.25">
      <c r="B23" s="36"/>
      <c r="F23" s="6"/>
      <c r="G23" s="35"/>
      <c r="H23" s="21"/>
    </row>
    <row r="24" spans="2:11" x14ac:dyDescent="0.25">
      <c r="B24" s="36"/>
      <c r="D24" s="1">
        <f>SETTORI!C29</f>
        <v>0</v>
      </c>
      <c r="E24" t="s">
        <v>40</v>
      </c>
      <c r="F24" s="6"/>
      <c r="G24" s="35"/>
      <c r="H24" s="21"/>
    </row>
    <row r="25" spans="2:11" ht="18.75" x14ac:dyDescent="0.25">
      <c r="B25" s="30" t="s">
        <v>67</v>
      </c>
      <c r="C25">
        <f>(2/3)*EQUAZIONI!H73*'INTEGRALI DI EFFLUSSO'!D24^(3/2)+2*EQUAZIONI!H74*'INTEGRALI DI EFFLUSSO'!D24^(1/2)-(2/3)*EQUAZIONI!H73*'INTEGRALI DI EFFLUSSO'!D26^(3/2)-2*EQUAZIONI!H74*'INTEGRALI DI EFFLUSSO'!D26^(1/2)</f>
        <v>0</v>
      </c>
      <c r="E25" t="s">
        <v>10</v>
      </c>
      <c r="F25" s="6" t="s">
        <v>25</v>
      </c>
      <c r="G25" s="35">
        <f>CALCOLO!$E$24/2</f>
        <v>0.42499999999999999</v>
      </c>
      <c r="H25" s="21"/>
    </row>
    <row r="26" spans="2:11" x14ac:dyDescent="0.25">
      <c r="B26" s="36"/>
      <c r="D26" s="1">
        <f>SETTORI!C27</f>
        <v>0</v>
      </c>
      <c r="E26" t="s">
        <v>39</v>
      </c>
      <c r="F26" s="6"/>
      <c r="G26" s="35"/>
      <c r="H26" s="21"/>
    </row>
    <row r="27" spans="2:11" x14ac:dyDescent="0.25">
      <c r="B27" s="36"/>
      <c r="F27" s="6"/>
      <c r="G27" s="35"/>
      <c r="H27" s="21"/>
    </row>
    <row r="28" spans="2:11" x14ac:dyDescent="0.25">
      <c r="B28" s="36"/>
      <c r="F28" s="6"/>
      <c r="G28" s="35"/>
      <c r="H28" s="21"/>
    </row>
    <row r="29" spans="2:11" x14ac:dyDescent="0.25">
      <c r="B29" s="36"/>
      <c r="D29" s="1">
        <f>SETTORI!C34</f>
        <v>0.12447961799571729</v>
      </c>
      <c r="E29" t="s">
        <v>41</v>
      </c>
      <c r="F29" s="6"/>
      <c r="G29" s="35"/>
      <c r="H29" s="21"/>
    </row>
    <row r="30" spans="2:11" ht="18.75" x14ac:dyDescent="0.3">
      <c r="B30" s="30" t="s">
        <v>68</v>
      </c>
      <c r="C30">
        <f>(2/3)*EQUAZIONI!H75*'INTEGRALI DI EFFLUSSO'!D29^(3/2)+2*EQUAZIONI!H76*'INTEGRALI DI EFFLUSSO'!D29^(1/2)-(2/3)*EQUAZIONI!H75*'INTEGRALI DI EFFLUSSO'!D31^(3/2)-2*EQUAZIONI!H76*'INTEGRALI DI EFFLUSSO'!D31^(1/2)</f>
        <v>1.9228741851785427E-2</v>
      </c>
      <c r="E30" t="s">
        <v>10</v>
      </c>
      <c r="F30" s="6" t="s">
        <v>25</v>
      </c>
      <c r="G30" s="35">
        <f>CALCOLO!$E$24/2</f>
        <v>0.42499999999999999</v>
      </c>
      <c r="H30" s="21"/>
      <c r="K30" s="22" t="s">
        <v>52</v>
      </c>
    </row>
    <row r="31" spans="2:11" x14ac:dyDescent="0.25">
      <c r="B31" s="36"/>
      <c r="D31" s="1">
        <f>SETTORI!C32</f>
        <v>0.10200000000000001</v>
      </c>
      <c r="E31" t="s">
        <v>40</v>
      </c>
      <c r="F31" s="6"/>
      <c r="G31" s="35"/>
      <c r="H31" s="21"/>
    </row>
    <row r="32" spans="2:11" x14ac:dyDescent="0.25">
      <c r="B32" s="36"/>
      <c r="F32" s="6"/>
      <c r="G32" s="35"/>
      <c r="H32" s="21"/>
    </row>
    <row r="33" spans="1:12" x14ac:dyDescent="0.25">
      <c r="B33" s="36"/>
      <c r="F33" s="6"/>
      <c r="G33" s="35"/>
      <c r="H33" s="21"/>
    </row>
    <row r="34" spans="1:12" x14ac:dyDescent="0.25">
      <c r="B34" s="36"/>
      <c r="D34" s="1">
        <f>SETTORI!C39</f>
        <v>0.16627639267129371</v>
      </c>
      <c r="E34" t="s">
        <v>78</v>
      </c>
      <c r="F34" s="6"/>
      <c r="G34" s="35"/>
      <c r="H34" s="21"/>
    </row>
    <row r="35" spans="1:12" ht="18.75" x14ac:dyDescent="0.3">
      <c r="B35" s="30" t="s">
        <v>194</v>
      </c>
      <c r="C35">
        <f>(2/3)*EQUAZIONI!H77*'INTEGRALI DI EFFLUSSO'!D34^(3/2)+2*EQUAZIONI!H78*'INTEGRALI DI EFFLUSSO'!D34^(1/2)-(2/3)*EQUAZIONI!H77*'INTEGRALI DI EFFLUSSO'!D36^(3/2)-2*EQUAZIONI!H78*'INTEGRALI DI EFFLUSSO'!D36^(1/2)</f>
        <v>3.4994983705620736E-2</v>
      </c>
      <c r="E35" t="s">
        <v>10</v>
      </c>
      <c r="F35" s="6" t="s">
        <v>25</v>
      </c>
      <c r="G35" s="35">
        <f>CALCOLO!$E$24/2</f>
        <v>0.42499999999999999</v>
      </c>
      <c r="H35" s="21"/>
      <c r="K35" s="2" t="s">
        <v>69</v>
      </c>
      <c r="L35">
        <f>C5+C10+C15+C20+C25+C30+C35+C40+C45+C50+C55+C60</f>
        <v>0.24609498741484481</v>
      </c>
    </row>
    <row r="36" spans="1:12" x14ac:dyDescent="0.25">
      <c r="B36" s="36"/>
      <c r="D36" s="1">
        <f>SETTORI!C37</f>
        <v>0.12447961799571729</v>
      </c>
      <c r="E36" t="s">
        <v>41</v>
      </c>
      <c r="F36" s="6"/>
      <c r="G36" s="35"/>
      <c r="H36" s="21"/>
    </row>
    <row r="37" spans="1:12" x14ac:dyDescent="0.25">
      <c r="B37" s="36"/>
      <c r="F37" s="6"/>
      <c r="G37" s="35"/>
      <c r="H37" s="21"/>
    </row>
    <row r="38" spans="1:12" x14ac:dyDescent="0.25">
      <c r="B38" s="36"/>
      <c r="F38" s="6"/>
      <c r="G38" s="35"/>
      <c r="H38" s="21"/>
    </row>
    <row r="39" spans="1:12" x14ac:dyDescent="0.25">
      <c r="A39" s="13"/>
      <c r="B39" s="36"/>
      <c r="D39" s="1">
        <f>SETTORI!C44</f>
        <v>0.21249999999999997</v>
      </c>
      <c r="E39" t="s">
        <v>79</v>
      </c>
      <c r="F39" s="6"/>
      <c r="G39" s="35"/>
      <c r="H39" s="21"/>
    </row>
    <row r="40" spans="1:12" ht="18.75" x14ac:dyDescent="0.25">
      <c r="B40" s="30" t="s">
        <v>195</v>
      </c>
      <c r="C40">
        <f>(2/3)*EQUAZIONI!H79*'INTEGRALI DI EFFLUSSO'!D39^(3/2)+2*EQUAZIONI!H80*'INTEGRALI DI EFFLUSSO'!D39^(1/2)-(2/3)*EQUAZIONI!H79*'INTEGRALI DI EFFLUSSO'!D41^(3/2)-2*EQUAZIONI!H80*'INTEGRALI DI EFFLUSSO'!D41^(1/2)</f>
        <v>3.7490080903670064E-2</v>
      </c>
      <c r="E40" t="s">
        <v>10</v>
      </c>
      <c r="F40" s="6" t="s">
        <v>25</v>
      </c>
      <c r="G40" s="35">
        <f>CALCOLO!$E$24/2</f>
        <v>0.42499999999999999</v>
      </c>
      <c r="H40" s="38"/>
      <c r="I40" s="28" t="s">
        <v>214</v>
      </c>
      <c r="J40">
        <f>C25+C30+C35+C40</f>
        <v>9.1713806461076228E-2</v>
      </c>
    </row>
    <row r="41" spans="1:12" x14ac:dyDescent="0.25">
      <c r="A41" s="13"/>
      <c r="B41" s="36"/>
      <c r="D41" s="1">
        <f>SETTORI!C42</f>
        <v>0.16627639267129371</v>
      </c>
      <c r="E41" t="s">
        <v>78</v>
      </c>
      <c r="F41" s="6"/>
      <c r="G41" s="35"/>
      <c r="H41" s="21"/>
    </row>
    <row r="42" spans="1:12" x14ac:dyDescent="0.25">
      <c r="B42" s="36"/>
      <c r="F42" s="6"/>
      <c r="G42" s="35"/>
      <c r="H42" s="21"/>
    </row>
    <row r="43" spans="1:12" x14ac:dyDescent="0.25">
      <c r="B43" s="36"/>
      <c r="F43" s="6"/>
      <c r="G43" s="35"/>
      <c r="H43" s="21"/>
    </row>
    <row r="44" spans="1:12" x14ac:dyDescent="0.25">
      <c r="B44" s="36"/>
      <c r="D44" s="1">
        <f>SETTORI!C49</f>
        <v>0.26235954124483685</v>
      </c>
      <c r="E44" t="s">
        <v>80</v>
      </c>
      <c r="F44" s="6"/>
      <c r="G44" s="35"/>
      <c r="H44" s="21"/>
    </row>
    <row r="45" spans="1:12" ht="18.75" x14ac:dyDescent="0.25">
      <c r="B45" s="30" t="s">
        <v>196</v>
      </c>
      <c r="C45">
        <f>(2/3)*EQUAZIONI!H81*'INTEGRALI DI EFFLUSSO'!D44^(3/2)+2*EQUAZIONI!H82*'INTEGRALI DI EFFLUSSO'!D44^(1/2)-(2/3)*EQUAZIONI!H81*'INTEGRALI DI EFFLUSSO'!D46^(3/2)-2*EQUAZIONI!H82*'INTEGRALI DI EFFLUSSO'!D46^(1/2)</f>
        <v>3.8951498829513931E-2</v>
      </c>
      <c r="E45" t="s">
        <v>10</v>
      </c>
      <c r="F45" s="6" t="s">
        <v>25</v>
      </c>
      <c r="G45" s="35">
        <f>CALCOLO!$E$24/2</f>
        <v>0.42499999999999999</v>
      </c>
      <c r="H45" s="21"/>
    </row>
    <row r="46" spans="1:12" x14ac:dyDescent="0.25">
      <c r="B46" s="36"/>
      <c r="D46" s="1">
        <f>SETTORI!C47</f>
        <v>0.21249999999999997</v>
      </c>
      <c r="E46" t="s">
        <v>79</v>
      </c>
      <c r="F46" s="6"/>
      <c r="G46" s="35"/>
      <c r="H46" s="21"/>
    </row>
    <row r="47" spans="1:12" x14ac:dyDescent="0.25">
      <c r="B47" s="36"/>
      <c r="F47" s="6"/>
      <c r="G47" s="35"/>
      <c r="H47" s="21"/>
    </row>
    <row r="48" spans="1:12" x14ac:dyDescent="0.25">
      <c r="B48" s="36"/>
      <c r="F48" s="6"/>
      <c r="G48" s="35"/>
      <c r="H48" s="21"/>
    </row>
    <row r="49" spans="2:10" x14ac:dyDescent="0.25">
      <c r="B49" s="36"/>
      <c r="D49" s="1">
        <f>SETTORI!C54</f>
        <v>0.31500190583142862</v>
      </c>
      <c r="E49" t="s">
        <v>81</v>
      </c>
      <c r="F49" s="6"/>
      <c r="G49" s="35"/>
      <c r="H49" s="21"/>
    </row>
    <row r="50" spans="2:10" ht="18.75" x14ac:dyDescent="0.25">
      <c r="B50" s="30" t="s">
        <v>197</v>
      </c>
      <c r="C50">
        <f>(2/3)*EQUAZIONI!H83*'INTEGRALI DI EFFLUSSO'!D49^(3/2)+2*EQUAZIONI!H84*'INTEGRALI DI EFFLUSSO'!D49^(1/2)-(2/3)*EQUAZIONI!H83*'INTEGRALI DI EFFLUSSO'!D51^(3/2)-2*EQUAZIONI!H84*'INTEGRALI DI EFFLUSSO'!D51^(1/2)</f>
        <v>3.9373865871571156E-2</v>
      </c>
      <c r="E50" t="s">
        <v>10</v>
      </c>
      <c r="F50" s="6" t="s">
        <v>25</v>
      </c>
      <c r="G50" s="35">
        <f>CALCOLO!$E$24/2</f>
        <v>0.42499999999999999</v>
      </c>
      <c r="H50" s="21"/>
    </row>
    <row r="51" spans="2:10" x14ac:dyDescent="0.25">
      <c r="B51" s="36"/>
      <c r="D51" s="1">
        <f>SETTORI!C52</f>
        <v>0.26235954124483685</v>
      </c>
      <c r="E51" t="s">
        <v>80</v>
      </c>
      <c r="F51" s="6"/>
      <c r="G51" s="35"/>
      <c r="H51" s="21"/>
    </row>
    <row r="52" spans="2:10" x14ac:dyDescent="0.25">
      <c r="B52" s="36"/>
      <c r="F52" s="6"/>
      <c r="G52" s="35"/>
      <c r="H52" s="21"/>
    </row>
    <row r="53" spans="2:10" x14ac:dyDescent="0.25">
      <c r="B53" s="36"/>
      <c r="F53" s="6"/>
      <c r="G53" s="35"/>
      <c r="H53" s="21"/>
    </row>
    <row r="54" spans="2:10" x14ac:dyDescent="0.25">
      <c r="B54" s="36"/>
      <c r="D54" s="1">
        <f>SETTORI!C59</f>
        <v>0.369526368306478</v>
      </c>
      <c r="E54" t="s">
        <v>82</v>
      </c>
      <c r="F54" s="6"/>
      <c r="G54" s="35"/>
      <c r="H54" s="21"/>
    </row>
    <row r="55" spans="2:10" ht="18.75" x14ac:dyDescent="0.25">
      <c r="B55" s="30" t="s">
        <v>198</v>
      </c>
      <c r="C55">
        <f>(2/3)*EQUAZIONI!H85*'INTEGRALI DI EFFLUSSO'!D54^(3/2)+2*EQUAZIONI!H86*'INTEGRALI DI EFFLUSSO'!D54^(1/2)-(2/3)*EQUAZIONI!H85*'INTEGRALI DI EFFLUSSO'!D56^(3/2)-2*EQUAZIONI!H86*'INTEGRALI DI EFFLUSSO'!D56^(1/2)</f>
        <v>3.8789364479753841E-2</v>
      </c>
      <c r="E55" t="s">
        <v>10</v>
      </c>
      <c r="F55" s="6" t="s">
        <v>25</v>
      </c>
      <c r="G55" s="35">
        <f>CALCOLO!$E$24/2</f>
        <v>0.42499999999999999</v>
      </c>
      <c r="H55" s="21"/>
    </row>
    <row r="56" spans="2:10" x14ac:dyDescent="0.25">
      <c r="B56" s="36"/>
      <c r="D56" s="1">
        <f>SETTORI!C57</f>
        <v>0.31500190583142862</v>
      </c>
      <c r="E56" t="s">
        <v>81</v>
      </c>
      <c r="F56" s="6"/>
      <c r="G56" s="35"/>
      <c r="H56" s="21"/>
    </row>
    <row r="57" spans="2:10" x14ac:dyDescent="0.25">
      <c r="B57" s="36"/>
      <c r="F57" s="6"/>
      <c r="G57" s="35"/>
      <c r="H57" s="21"/>
    </row>
    <row r="58" spans="2:10" x14ac:dyDescent="0.25">
      <c r="B58" s="36"/>
      <c r="F58" s="6"/>
      <c r="G58" s="35"/>
      <c r="H58" s="21"/>
    </row>
    <row r="59" spans="2:10" x14ac:dyDescent="0.25">
      <c r="B59" s="36"/>
      <c r="D59" s="1">
        <f>SETTORI!C64</f>
        <v>0.42499999999999993</v>
      </c>
      <c r="E59" t="s">
        <v>83</v>
      </c>
      <c r="F59" s="6"/>
      <c r="G59" s="35"/>
      <c r="H59" s="21"/>
    </row>
    <row r="60" spans="2:10" ht="18.75" x14ac:dyDescent="0.25">
      <c r="B60" s="30" t="s">
        <v>199</v>
      </c>
      <c r="C60">
        <f>(2/3)*EQUAZIONI!H87*'INTEGRALI DI EFFLUSSO'!D59^(3/2)+2*EQUAZIONI!H88*'INTEGRALI DI EFFLUSSO'!D59^(1/2)-(2/3)*EQUAZIONI!H87*'INTEGRALI DI EFFLUSSO'!D61^(3/2)-2*EQUAZIONI!H88*'INTEGRALI DI EFFLUSSO'!D61^(1/2)</f>
        <v>3.7266451772929643E-2</v>
      </c>
      <c r="E60" t="s">
        <v>10</v>
      </c>
      <c r="F60" s="6" t="s">
        <v>25</v>
      </c>
      <c r="G60" s="35">
        <f>CALCOLO!$E$24/2</f>
        <v>0.42499999999999999</v>
      </c>
      <c r="H60" s="38"/>
      <c r="I60" s="28" t="s">
        <v>215</v>
      </c>
      <c r="J60">
        <f>C45+C50+C55+C60</f>
        <v>0.15438118095376857</v>
      </c>
    </row>
    <row r="61" spans="2:10" x14ac:dyDescent="0.25">
      <c r="B61" s="36"/>
      <c r="D61" s="1">
        <f>SETTORI!C62</f>
        <v>0.369526368306478</v>
      </c>
      <c r="E61" t="s">
        <v>82</v>
      </c>
      <c r="F61" s="6"/>
      <c r="G61" s="35"/>
      <c r="H61" s="21"/>
    </row>
    <row r="62" spans="2:10" x14ac:dyDescent="0.25">
      <c r="B62" s="36"/>
      <c r="F62" s="6"/>
      <c r="G62" s="35"/>
    </row>
    <row r="63" spans="2:10" x14ac:dyDescent="0.25">
      <c r="B63" s="36"/>
      <c r="F63" s="6"/>
      <c r="G63" s="35"/>
    </row>
    <row r="64" spans="2:10" x14ac:dyDescent="0.25">
      <c r="B64" s="36"/>
      <c r="D64" s="1">
        <f>SETTORI!C69</f>
        <v>0.48047363169352192</v>
      </c>
      <c r="E64" t="s">
        <v>84</v>
      </c>
      <c r="F64" s="6"/>
      <c r="G64" s="35"/>
      <c r="H64" s="21"/>
    </row>
    <row r="65" spans="2:10" ht="18.75" x14ac:dyDescent="0.25">
      <c r="B65" s="30" t="s">
        <v>200</v>
      </c>
      <c r="C65">
        <f>(2/3)*EQUAZIONI!H89*'INTEGRALI DI EFFLUSSO'!D64^(3/2)+2*EQUAZIONI!H90*'INTEGRALI DI EFFLUSSO'!D64^(1/2)-(2/3)*EQUAZIONI!H89*'INTEGRALI DI EFFLUSSO'!D66^(3/2)-2*EQUAZIONI!H90*'INTEGRALI DI EFFLUSSO'!D66^(1/2)</f>
        <v>3.4907120661014757E-2</v>
      </c>
      <c r="E65" t="s">
        <v>10</v>
      </c>
      <c r="F65" s="6" t="s">
        <v>25</v>
      </c>
      <c r="G65" s="35">
        <f>CALCOLO!$E$24/2</f>
        <v>0.42499999999999999</v>
      </c>
      <c r="H65" s="21"/>
    </row>
    <row r="66" spans="2:10" x14ac:dyDescent="0.25">
      <c r="B66" s="36"/>
      <c r="D66" s="1">
        <f>SETTORI!C67</f>
        <v>0.42499999999999993</v>
      </c>
      <c r="E66" t="s">
        <v>83</v>
      </c>
      <c r="F66" s="6"/>
      <c r="G66" s="35"/>
      <c r="H66" s="21"/>
    </row>
    <row r="67" spans="2:10" x14ac:dyDescent="0.25">
      <c r="B67" s="36"/>
      <c r="F67" s="6"/>
      <c r="G67" s="35"/>
      <c r="H67" s="21"/>
    </row>
    <row r="68" spans="2:10" x14ac:dyDescent="0.25">
      <c r="B68" s="36"/>
      <c r="F68" s="6"/>
      <c r="G68" s="35"/>
      <c r="H68" s="21"/>
    </row>
    <row r="69" spans="2:10" x14ac:dyDescent="0.25">
      <c r="B69" s="36"/>
      <c r="D69" s="1">
        <f>SETTORI!C74</f>
        <v>0.53499809416857125</v>
      </c>
      <c r="E69" t="s">
        <v>85</v>
      </c>
      <c r="F69" s="6"/>
      <c r="G69" s="35"/>
      <c r="H69" s="21"/>
    </row>
    <row r="70" spans="2:10" ht="18.75" x14ac:dyDescent="0.25">
      <c r="B70" s="30" t="s">
        <v>201</v>
      </c>
      <c r="C70">
        <f>(2/3)*EQUAZIONI!H91*'INTEGRALI DI EFFLUSSO'!D69^(3/2)+2*EQUAZIONI!H92*'INTEGRALI DI EFFLUSSO'!D69^(1/2)-(2/3)*EQUAZIONI!H91*'INTEGRALI DI EFFLUSSO'!D71^(3/2)-2*EQUAZIONI!H92*'INTEGRALI DI EFFLUSSO'!D71^(1/2)</f>
        <v>3.1842845523515573E-2</v>
      </c>
      <c r="E70" t="s">
        <v>10</v>
      </c>
      <c r="F70" s="6" t="s">
        <v>25</v>
      </c>
      <c r="G70" s="35">
        <f>CALCOLO!$E$24/2</f>
        <v>0.42499999999999999</v>
      </c>
      <c r="H70" s="21"/>
    </row>
    <row r="71" spans="2:10" x14ac:dyDescent="0.25">
      <c r="B71" s="36"/>
      <c r="D71" s="1">
        <f>SETTORI!C72</f>
        <v>0.48047363169352192</v>
      </c>
      <c r="E71" t="s">
        <v>84</v>
      </c>
      <c r="F71" s="6"/>
      <c r="G71" s="35"/>
      <c r="H71" s="21"/>
    </row>
    <row r="72" spans="2:10" x14ac:dyDescent="0.25">
      <c r="B72" s="36"/>
      <c r="F72" s="6"/>
      <c r="G72" s="35"/>
      <c r="H72" s="21"/>
    </row>
    <row r="73" spans="2:10" x14ac:dyDescent="0.25">
      <c r="B73" s="36"/>
      <c r="F73" s="6"/>
      <c r="G73" s="35"/>
      <c r="H73" s="21"/>
    </row>
    <row r="74" spans="2:10" x14ac:dyDescent="0.25">
      <c r="B74" s="36"/>
      <c r="D74" s="1">
        <f>SETTORI!C79</f>
        <v>0.58764045875516313</v>
      </c>
      <c r="E74" t="s">
        <v>86</v>
      </c>
      <c r="F74" s="6"/>
      <c r="G74" s="35"/>
      <c r="H74" s="21"/>
    </row>
    <row r="75" spans="2:10" ht="18.75" x14ac:dyDescent="0.25">
      <c r="B75" s="30" t="s">
        <v>202</v>
      </c>
      <c r="C75">
        <f>(2/3)*EQUAZIONI!H93*'INTEGRALI DI EFFLUSSO'!D74^(3/2)+2*EQUAZIONI!H94*'INTEGRALI DI EFFLUSSO'!D74^(1/2)-(2/3)*EQUAZIONI!H93*'INTEGRALI DI EFFLUSSO'!D76^(3/2)-2*EQUAZIONI!H94*'INTEGRALI DI EFFLUSSO'!D76^(1/2)</f>
        <v>2.8229386355376862E-2</v>
      </c>
      <c r="E75" t="s">
        <v>10</v>
      </c>
      <c r="F75" s="6" t="s">
        <v>25</v>
      </c>
      <c r="G75" s="35">
        <f>CALCOLO!$E$24/2</f>
        <v>0.42499999999999999</v>
      </c>
      <c r="H75" s="21"/>
    </row>
    <row r="76" spans="2:10" x14ac:dyDescent="0.25">
      <c r="B76" s="36"/>
      <c r="D76" s="1">
        <f>SETTORI!C77</f>
        <v>0.53499809416857125</v>
      </c>
      <c r="E76" t="s">
        <v>85</v>
      </c>
      <c r="F76" s="6"/>
      <c r="G76" s="35"/>
      <c r="H76" s="21"/>
    </row>
    <row r="77" spans="2:10" x14ac:dyDescent="0.25">
      <c r="B77" s="36"/>
      <c r="F77" s="6"/>
      <c r="G77" s="35"/>
      <c r="H77" s="21"/>
    </row>
    <row r="78" spans="2:10" x14ac:dyDescent="0.25">
      <c r="B78" s="36"/>
      <c r="F78" s="6"/>
      <c r="G78" s="35"/>
      <c r="H78" s="21"/>
    </row>
    <row r="79" spans="2:10" x14ac:dyDescent="0.25">
      <c r="B79" s="36"/>
      <c r="D79" s="1">
        <f>SETTORI!C84</f>
        <v>0.63749999999999996</v>
      </c>
      <c r="E79" t="s">
        <v>87</v>
      </c>
      <c r="F79" s="6"/>
      <c r="G79" s="35"/>
      <c r="H79" s="21"/>
    </row>
    <row r="80" spans="2:10" ht="18.75" x14ac:dyDescent="0.25">
      <c r="B80" s="30" t="s">
        <v>203</v>
      </c>
      <c r="C80">
        <f>(2/3)*EQUAZIONI!H95*'INTEGRALI DI EFFLUSSO'!D79^(3/2)+2*EQUAZIONI!H96*'INTEGRALI DI EFFLUSSO'!D79^(1/2)-(2/3)*EQUAZIONI!H95*'INTEGRALI DI EFFLUSSO'!D81^(3/2)-2*EQUAZIONI!H96*'INTEGRALI DI EFFLUSSO'!D81^(1/2)</f>
        <v>2.4240660334366559E-2</v>
      </c>
      <c r="E80" t="s">
        <v>10</v>
      </c>
      <c r="F80" s="6" t="s">
        <v>25</v>
      </c>
      <c r="G80" s="35">
        <f>CALCOLO!$E$24/2</f>
        <v>0.42499999999999999</v>
      </c>
      <c r="H80" s="38"/>
      <c r="I80" s="28" t="s">
        <v>216</v>
      </c>
      <c r="J80">
        <f>C65+C70+C75+C80</f>
        <v>0.11922001287427375</v>
      </c>
    </row>
    <row r="81" spans="2:12" x14ac:dyDescent="0.25">
      <c r="B81" s="36"/>
      <c r="D81" s="1">
        <f>SETTORI!C82</f>
        <v>0.58764045875516313</v>
      </c>
      <c r="E81" t="s">
        <v>86</v>
      </c>
      <c r="F81" s="6"/>
      <c r="G81" s="35"/>
      <c r="H81" s="21"/>
    </row>
    <row r="82" spans="2:12" x14ac:dyDescent="0.25">
      <c r="B82" s="36"/>
      <c r="F82" s="6"/>
      <c r="G82" s="35"/>
      <c r="H82" s="21"/>
    </row>
    <row r="83" spans="2:12" x14ac:dyDescent="0.25">
      <c r="B83" s="36"/>
      <c r="F83" s="6"/>
      <c r="G83" s="35"/>
      <c r="H83" s="21"/>
    </row>
    <row r="84" spans="2:12" x14ac:dyDescent="0.25">
      <c r="B84" s="36"/>
      <c r="D84" s="1">
        <f>SETTORI!C89</f>
        <v>0.68372360732870618</v>
      </c>
      <c r="E84" t="s">
        <v>88</v>
      </c>
      <c r="F84" s="6"/>
      <c r="G84" s="35"/>
      <c r="H84" s="21"/>
    </row>
    <row r="85" spans="2:12" ht="18.75" x14ac:dyDescent="0.25">
      <c r="B85" s="30" t="s">
        <v>204</v>
      </c>
      <c r="C85">
        <f>(2/3)*EQUAZIONI!H97*'INTEGRALI DI EFFLUSSO'!D84^(3/2)+2*EQUAZIONI!H98*'INTEGRALI DI EFFLUSSO'!D84^(1/2)-(2/3)*EQUAZIONI!H97*'INTEGRALI DI EFFLUSSO'!D86^(3/2)-2*EQUAZIONI!H98*'INTEGRALI DI EFFLUSSO'!D86^(1/2)</f>
        <v>2.0061921501329794E-2</v>
      </c>
      <c r="E85" t="s">
        <v>10</v>
      </c>
      <c r="F85" s="6" t="s">
        <v>25</v>
      </c>
      <c r="G85" s="35">
        <f>CALCOLO!$E$24/2</f>
        <v>0.42499999999999999</v>
      </c>
      <c r="H85" s="21"/>
    </row>
    <row r="86" spans="2:12" x14ac:dyDescent="0.25">
      <c r="B86" s="36"/>
      <c r="D86" s="1">
        <f>SETTORI!C87</f>
        <v>0.63749999999999996</v>
      </c>
      <c r="E86" t="s">
        <v>87</v>
      </c>
      <c r="F86" s="6"/>
      <c r="G86" s="35"/>
      <c r="H86" s="21"/>
    </row>
    <row r="87" spans="2:12" x14ac:dyDescent="0.25">
      <c r="B87" s="36"/>
      <c r="F87" s="6"/>
      <c r="G87" s="35"/>
      <c r="H87" s="21"/>
    </row>
    <row r="88" spans="2:12" x14ac:dyDescent="0.25">
      <c r="B88" s="36"/>
      <c r="F88" s="6"/>
      <c r="G88" s="35"/>
      <c r="H88" s="21"/>
    </row>
    <row r="89" spans="2:12" x14ac:dyDescent="0.25">
      <c r="B89" s="36"/>
      <c r="D89" s="1">
        <f>SETTORI!C94</f>
        <v>0.72552038200428259</v>
      </c>
      <c r="E89" t="s">
        <v>89</v>
      </c>
      <c r="F89" s="6"/>
      <c r="G89" s="35"/>
      <c r="H89" s="21"/>
    </row>
    <row r="90" spans="2:12" ht="18.75" x14ac:dyDescent="0.3">
      <c r="B90" s="30" t="s">
        <v>205</v>
      </c>
      <c r="C90">
        <f>(2/3)*EQUAZIONI!H99*'INTEGRALI DI EFFLUSSO'!D89^(3/2)+2*EQUAZIONI!H100*'INTEGRALI DI EFFLUSSO'!D89^(1/2)-(2/3)*EQUAZIONI!H99*'INTEGRALI DI EFFLUSSO'!D91^(3/2)-2*EQUAZIONI!H100*'INTEGRALI DI EFFLUSSO'!D91^(1/2)</f>
        <v>1.5882513780209884E-2</v>
      </c>
      <c r="E90" t="s">
        <v>10</v>
      </c>
      <c r="F90" s="6" t="s">
        <v>25</v>
      </c>
      <c r="G90" s="35">
        <f>CALCOLO!$E$24/2</f>
        <v>0.42499999999999999</v>
      </c>
      <c r="H90" s="21"/>
      <c r="K90" s="23" t="s">
        <v>53</v>
      </c>
    </row>
    <row r="91" spans="2:12" x14ac:dyDescent="0.25">
      <c r="B91" s="36"/>
      <c r="D91" s="1">
        <f>SETTORI!C92</f>
        <v>0.68372360732870618</v>
      </c>
      <c r="E91" t="s">
        <v>88</v>
      </c>
      <c r="F91" s="6"/>
      <c r="G91" s="35"/>
      <c r="H91" s="21"/>
    </row>
    <row r="92" spans="2:12" x14ac:dyDescent="0.25">
      <c r="B92" s="36"/>
      <c r="F92" s="6"/>
      <c r="G92" s="35"/>
      <c r="H92" s="21"/>
    </row>
    <row r="93" spans="2:12" x14ac:dyDescent="0.25">
      <c r="B93" s="36"/>
      <c r="F93" s="6"/>
      <c r="G93" s="35"/>
      <c r="H93" s="21"/>
    </row>
    <row r="94" spans="2:12" x14ac:dyDescent="0.25">
      <c r="B94" s="36"/>
      <c r="D94" s="1">
        <f>SETTORI!C99</f>
        <v>0.76217516962377485</v>
      </c>
      <c r="E94" t="s">
        <v>90</v>
      </c>
      <c r="F94" s="6"/>
      <c r="G94" s="35"/>
      <c r="H94" s="21"/>
    </row>
    <row r="95" spans="2:12" ht="18.75" x14ac:dyDescent="0.3">
      <c r="B95" s="30" t="s">
        <v>206</v>
      </c>
      <c r="C95">
        <f>(2/3)*EQUAZIONI!H101*'INTEGRALI DI EFFLUSSO'!D94^(3/2)+2*EQUAZIONI!H102*'INTEGRALI DI EFFLUSSO'!D94^(1/2)-(2/3)*EQUAZIONI!H101*'INTEGRALI DI EFFLUSSO'!D96^(3/2)-2*EQUAZIONI!H102*'INTEGRALI DI EFFLUSSO'!D96^(1/2)</f>
        <v>1.1888477859916202E-2</v>
      </c>
      <c r="E95" t="s">
        <v>10</v>
      </c>
      <c r="F95" s="6" t="s">
        <v>25</v>
      </c>
      <c r="G95" s="35">
        <f>CALCOLO!$E$24/2</f>
        <v>0.42499999999999999</v>
      </c>
      <c r="H95" s="21"/>
      <c r="K95" s="2" t="s">
        <v>70</v>
      </c>
      <c r="L95">
        <f>C65+C70+C75+C80+C85+C90+C95+C100+C105+C110+C115+C120</f>
        <v>0.18374998720745706</v>
      </c>
    </row>
    <row r="96" spans="2:12" x14ac:dyDescent="0.25">
      <c r="B96" s="36"/>
      <c r="D96" s="1">
        <f>SETTORI!C97</f>
        <v>0.72552038200428259</v>
      </c>
      <c r="E96" t="s">
        <v>89</v>
      </c>
      <c r="F96" s="6"/>
      <c r="G96" s="35"/>
      <c r="H96" s="21"/>
    </row>
    <row r="97" spans="2:10" x14ac:dyDescent="0.25">
      <c r="B97" s="36"/>
      <c r="F97" s="6"/>
      <c r="G97" s="35"/>
      <c r="H97" s="21"/>
    </row>
    <row r="98" spans="2:10" x14ac:dyDescent="0.25">
      <c r="B98" s="36"/>
      <c r="F98" s="6"/>
      <c r="G98" s="35"/>
      <c r="H98" s="21"/>
    </row>
    <row r="99" spans="2:10" x14ac:dyDescent="0.25">
      <c r="B99" s="36"/>
      <c r="D99" s="1">
        <f>SETTORI!C104</f>
        <v>0.79306079660838635</v>
      </c>
      <c r="E99" t="s">
        <v>91</v>
      </c>
      <c r="F99" s="6"/>
      <c r="G99" s="35"/>
      <c r="H99" s="21"/>
    </row>
    <row r="100" spans="2:10" ht="18.75" x14ac:dyDescent="0.25">
      <c r="B100" s="30" t="s">
        <v>207</v>
      </c>
      <c r="C100">
        <f>(2/3)*EQUAZIONI!H103*'INTEGRALI DI EFFLUSSO'!D99^(3/2)+2*EQUAZIONI!H104*'INTEGRALI DI EFFLUSSO'!D99^(1/2)-(2/3)*EQUAZIONI!H103*'INTEGRALI DI EFFLUSSO'!D101^(3/2)-2*EQUAZIONI!H104*'INTEGRALI DI EFFLUSSO'!D101^(1/2)</f>
        <v>8.2552974441476579E-3</v>
      </c>
      <c r="E100" t="s">
        <v>10</v>
      </c>
      <c r="F100" s="6" t="s">
        <v>25</v>
      </c>
      <c r="G100" s="35">
        <f>CALCOLO!$E$24/2</f>
        <v>0.42499999999999999</v>
      </c>
      <c r="H100" s="38"/>
      <c r="I100" s="28" t="s">
        <v>217</v>
      </c>
      <c r="J100">
        <f>C85+C90+C95+C100</f>
        <v>5.6088210585603537E-2</v>
      </c>
    </row>
    <row r="101" spans="2:10" x14ac:dyDescent="0.25">
      <c r="B101" s="36"/>
      <c r="D101" s="1">
        <f>SETTORI!C102</f>
        <v>0.76217516962377485</v>
      </c>
      <c r="E101" t="s">
        <v>90</v>
      </c>
      <c r="F101" s="6"/>
      <c r="G101" s="35"/>
      <c r="H101" s="21"/>
    </row>
    <row r="102" spans="2:10" x14ac:dyDescent="0.25">
      <c r="B102" s="36"/>
      <c r="F102" s="6"/>
      <c r="G102" s="35"/>
      <c r="H102" s="21"/>
    </row>
    <row r="103" spans="2:10" x14ac:dyDescent="0.25">
      <c r="B103" s="36"/>
      <c r="F103" s="6"/>
      <c r="G103" s="35"/>
      <c r="H103" s="21"/>
    </row>
    <row r="104" spans="2:10" x14ac:dyDescent="0.25">
      <c r="B104" s="36"/>
      <c r="D104" s="1">
        <f>SETTORI!C109</f>
        <v>0.81764880131729678</v>
      </c>
      <c r="E104" t="s">
        <v>148</v>
      </c>
      <c r="F104" s="6"/>
      <c r="G104" s="35"/>
      <c r="H104" s="21"/>
    </row>
    <row r="105" spans="2:10" ht="18.75" x14ac:dyDescent="0.25">
      <c r="B105" s="30" t="s">
        <v>208</v>
      </c>
      <c r="C105">
        <f>(2/3)*EQUAZIONI!H105*'INTEGRALI DI EFFLUSSO'!D104^(3/2)+2*EQUAZIONI!H106*'INTEGRALI DI EFFLUSSO'!D104^(1/2)-(2/3)*EQUAZIONI!H105*'INTEGRALI DI EFFLUSSO'!D106^(3/2)-2*EQUAZIONI!H106*'INTEGRALI DI EFFLUSSO'!D106^(1/2)</f>
        <v>5.1410646301746077E-3</v>
      </c>
      <c r="E105" t="s">
        <v>10</v>
      </c>
      <c r="F105" s="6" t="s">
        <v>25</v>
      </c>
      <c r="G105" s="35">
        <f>CALCOLO!$E$24/2</f>
        <v>0.42499999999999999</v>
      </c>
      <c r="H105" s="21"/>
    </row>
    <row r="106" spans="2:10" x14ac:dyDescent="0.25">
      <c r="B106" s="36"/>
      <c r="D106" s="1">
        <f>SETTORI!C107</f>
        <v>0.79306079660838635</v>
      </c>
      <c r="E106" t="s">
        <v>91</v>
      </c>
      <c r="F106" s="6"/>
      <c r="G106" s="35"/>
      <c r="H106" s="21"/>
    </row>
    <row r="107" spans="2:10" x14ac:dyDescent="0.25">
      <c r="B107" s="36"/>
      <c r="F107" s="6"/>
      <c r="G107" s="35"/>
      <c r="H107" s="21"/>
    </row>
    <row r="108" spans="2:10" x14ac:dyDescent="0.25">
      <c r="B108" s="36"/>
      <c r="F108" s="6"/>
      <c r="G108" s="35"/>
      <c r="H108" s="21"/>
    </row>
    <row r="109" spans="2:10" x14ac:dyDescent="0.25">
      <c r="B109" s="36"/>
      <c r="D109" s="1">
        <f>SETTORI!C114</f>
        <v>0.83551847617285391</v>
      </c>
      <c r="E109" t="s">
        <v>94</v>
      </c>
      <c r="F109" s="6"/>
      <c r="G109" s="35"/>
      <c r="H109" s="21"/>
    </row>
    <row r="110" spans="2:10" ht="18.75" x14ac:dyDescent="0.25">
      <c r="B110" s="37" t="s">
        <v>209</v>
      </c>
      <c r="C110">
        <f>(2/3)*EQUAZIONI!H107*'INTEGRALI DI EFFLUSSO'!D109^(3/2)+2*EQUAZIONI!H108*'INTEGRALI DI EFFLUSSO'!D109^(1/2)-(2/3)*EQUAZIONI!H107*'INTEGRALI DI EFFLUSSO'!D111^(3/2)-2*EQUAZIONI!H108*'INTEGRALI DI EFFLUSSO'!D111^(1/2)</f>
        <v>2.6803278123566088E-3</v>
      </c>
      <c r="E110" t="s">
        <v>10</v>
      </c>
      <c r="F110" s="6" t="s">
        <v>25</v>
      </c>
      <c r="G110" s="35">
        <f>CALCOLO!$E$24/2</f>
        <v>0.42499999999999999</v>
      </c>
      <c r="H110" s="21"/>
    </row>
    <row r="111" spans="2:10" x14ac:dyDescent="0.25">
      <c r="B111" s="36"/>
      <c r="D111" s="1">
        <f>SETTORI!C112</f>
        <v>0.81764880131729678</v>
      </c>
      <c r="E111" t="s">
        <v>93</v>
      </c>
      <c r="F111" s="6"/>
      <c r="G111" s="35"/>
      <c r="H111" s="21"/>
    </row>
    <row r="112" spans="2:10" x14ac:dyDescent="0.25">
      <c r="B112" s="36"/>
      <c r="F112" s="6"/>
      <c r="G112" s="35"/>
      <c r="H112" s="21"/>
    </row>
    <row r="113" spans="2:10" x14ac:dyDescent="0.25">
      <c r="B113" s="36"/>
      <c r="F113" s="6"/>
      <c r="G113" s="35"/>
      <c r="H113" s="21"/>
    </row>
    <row r="114" spans="2:10" x14ac:dyDescent="0.25">
      <c r="B114" s="36"/>
      <c r="D114" s="1">
        <f>SETTORI!C119</f>
        <v>0.84150000000000003</v>
      </c>
      <c r="E114" t="s">
        <v>119</v>
      </c>
      <c r="F114" s="6"/>
      <c r="G114" s="35"/>
      <c r="H114" s="21"/>
    </row>
    <row r="115" spans="2:10" ht="18.75" x14ac:dyDescent="0.25">
      <c r="B115" s="30" t="s">
        <v>210</v>
      </c>
      <c r="C115">
        <f>(2/3)*EQUAZIONI!H109*'INTEGRALI DI EFFLUSSO'!D114^(3/2)+2*EQUAZIONI!H110*'INTEGRALI DI EFFLUSSO'!D114^(1/2)-(2/3)*EQUAZIONI!H109*'INTEGRALI DI EFFLUSSO'!D116^(3/2)-2*EQUAZIONI!H110*'INTEGRALI DI EFFLUSSO'!D116^(1/2)</f>
        <v>6.2037130504855043E-4</v>
      </c>
      <c r="E115" t="s">
        <v>10</v>
      </c>
      <c r="F115" s="6" t="s">
        <v>25</v>
      </c>
      <c r="G115" s="35">
        <f>CALCOLO!$E$24/2</f>
        <v>0.42499999999999999</v>
      </c>
      <c r="H115" s="21"/>
    </row>
    <row r="116" spans="2:10" x14ac:dyDescent="0.25">
      <c r="B116" s="36"/>
      <c r="D116" s="1">
        <f>SETTORI!C117</f>
        <v>0.83551847617285391</v>
      </c>
      <c r="E116" t="s">
        <v>94</v>
      </c>
      <c r="F116" s="6"/>
      <c r="G116" s="35"/>
      <c r="H116" s="21"/>
    </row>
    <row r="117" spans="2:10" x14ac:dyDescent="0.25">
      <c r="B117" s="36"/>
      <c r="F117" s="6"/>
      <c r="G117" s="35"/>
      <c r="H117" s="21"/>
    </row>
    <row r="118" spans="2:10" x14ac:dyDescent="0.25">
      <c r="B118" s="36"/>
      <c r="F118" s="6"/>
      <c r="G118" s="35"/>
      <c r="H118" s="21"/>
    </row>
    <row r="119" spans="2:10" x14ac:dyDescent="0.25">
      <c r="B119" s="36"/>
      <c r="D119" s="1">
        <f>SETTORI!C124</f>
        <v>0.84636406608386938</v>
      </c>
      <c r="E119" t="s">
        <v>92</v>
      </c>
      <c r="F119" s="6"/>
      <c r="G119" s="35"/>
      <c r="H119" s="21"/>
    </row>
    <row r="120" spans="2:10" ht="18.75" x14ac:dyDescent="0.25">
      <c r="B120" s="30" t="s">
        <v>211</v>
      </c>
      <c r="C120">
        <f>(2/3)*EQUAZIONI!H111*'INTEGRALI DI EFFLUSSO'!D119^(3/2)+2*EQUAZIONI!H112*'INTEGRALI DI EFFLUSSO'!D119^(1/2)-(2/3)*EQUAZIONI!H111*'INTEGRALI DI EFFLUSSO'!D121^(3/2)-2*EQUAZIONI!H112*'INTEGRALI DI EFFLUSSO'!D121^(1/2)</f>
        <v>0</v>
      </c>
      <c r="E120" t="s">
        <v>10</v>
      </c>
      <c r="F120" s="6" t="s">
        <v>25</v>
      </c>
      <c r="G120" s="35">
        <f>CALCOLO!$E$24/2</f>
        <v>0.42499999999999999</v>
      </c>
      <c r="H120" s="21"/>
    </row>
    <row r="121" spans="2:10" x14ac:dyDescent="0.25">
      <c r="D121" s="1">
        <f>SETTORI!C122</f>
        <v>0.84636406608386938</v>
      </c>
      <c r="E121" t="s">
        <v>119</v>
      </c>
      <c r="F121" s="6"/>
      <c r="G121" s="35"/>
      <c r="H121" s="21"/>
      <c r="I121" t="s">
        <v>218</v>
      </c>
      <c r="J121">
        <f>C105+C110+C115+C120</f>
        <v>8.4417637475797669E-3</v>
      </c>
    </row>
    <row r="124" spans="2:10" ht="18.75" x14ac:dyDescent="0.3">
      <c r="I124" s="2" t="s">
        <v>42</v>
      </c>
      <c r="J124">
        <f>C5+C10+C15+C20+C25+C30+C35+C40+C45+C50+C55+C60+C65+C70+C75+C80+C85+C90+C95+C100+C105+C110+C115+C120</f>
        <v>0.42984497462230187</v>
      </c>
    </row>
    <row r="126" spans="2:10" ht="21" x14ac:dyDescent="0.35">
      <c r="B126" s="5" t="s">
        <v>58</v>
      </c>
    </row>
    <row r="128" spans="2:10" x14ac:dyDescent="0.25">
      <c r="B128" s="4" t="s">
        <v>59</v>
      </c>
    </row>
    <row r="129" spans="2:8" x14ac:dyDescent="0.25">
      <c r="B129" s="4"/>
    </row>
    <row r="130" spans="2:8" x14ac:dyDescent="0.25">
      <c r="B130" s="4" t="s">
        <v>4</v>
      </c>
      <c r="E130">
        <f>2*CALCOLO!E26/((CALCOLO!E28/2)^2*PI()*E132*(2*9.806)^(1/2))</f>
        <v>9256.3389827780575</v>
      </c>
      <c r="F130" t="s">
        <v>11</v>
      </c>
    </row>
    <row r="131" spans="2:8" x14ac:dyDescent="0.25">
      <c r="B131" s="4"/>
      <c r="G131" s="13"/>
    </row>
    <row r="132" spans="2:8" x14ac:dyDescent="0.25">
      <c r="B132" s="7" t="s">
        <v>19</v>
      </c>
      <c r="E132">
        <f>IF(AND(EQUAZIONI!O13="SI"),IF(AND(EQUAZIONI!O15="NO"),IF(AND(EQUAZIONI!O17="NO"),EQUAZIONI!M12,"ERROR"),"ERROR"),IF(AND(EQUAZIONI!O15="SI"),IF(AND(EQUAZIONI!O17="NO"),EQUAZIONI!M14),EQUAZIONI!M16))</f>
        <v>0.82</v>
      </c>
      <c r="F132" t="s">
        <v>20</v>
      </c>
      <c r="G132" s="13"/>
    </row>
    <row r="133" spans="2:8" x14ac:dyDescent="0.25">
      <c r="B133" s="4"/>
      <c r="G133" s="13"/>
    </row>
    <row r="134" spans="2:8" x14ac:dyDescent="0.25">
      <c r="B134" s="4" t="s">
        <v>7</v>
      </c>
      <c r="C134">
        <f>E130*J124</f>
        <v>3978.7907951476577</v>
      </c>
      <c r="D134" t="s">
        <v>8</v>
      </c>
      <c r="E134" s="26">
        <f>C134/60</f>
        <v>66.313179919127634</v>
      </c>
      <c r="F134" t="s">
        <v>9</v>
      </c>
    </row>
    <row r="135" spans="2:8" x14ac:dyDescent="0.25">
      <c r="B135" s="4"/>
    </row>
    <row r="136" spans="2:8" x14ac:dyDescent="0.25">
      <c r="B136" s="4" t="s">
        <v>6</v>
      </c>
      <c r="C136">
        <f>C134/100*EQUAZIONI!E13</f>
        <v>11.344551383687383</v>
      </c>
      <c r="D136" t="s">
        <v>8</v>
      </c>
      <c r="E136" s="26">
        <f>C136/60</f>
        <v>0.18907585639478972</v>
      </c>
      <c r="F136" t="s">
        <v>9</v>
      </c>
    </row>
    <row r="137" spans="2:8" x14ac:dyDescent="0.25">
      <c r="B137" s="4"/>
    </row>
    <row r="138" spans="2:8" x14ac:dyDescent="0.25">
      <c r="B138" s="4" t="s">
        <v>60</v>
      </c>
    </row>
    <row r="144" spans="2:8" ht="15.75" x14ac:dyDescent="0.25">
      <c r="H144" s="24" t="s">
        <v>62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28"/>
  <sheetViews>
    <sheetView workbookViewId="0">
      <selection activeCell="A162" sqref="A162"/>
    </sheetView>
  </sheetViews>
  <sheetFormatPr defaultRowHeight="15" x14ac:dyDescent="0.25"/>
  <cols>
    <col min="2" max="2" width="14" customWidth="1"/>
    <col min="3" max="3" width="15.140625" customWidth="1"/>
    <col min="7" max="7" width="10.7109375" customWidth="1"/>
    <col min="9" max="9" width="11.140625" customWidth="1"/>
  </cols>
  <sheetData>
    <row r="2" spans="2:8" ht="21" x14ac:dyDescent="0.35">
      <c r="B2" s="5" t="s">
        <v>245</v>
      </c>
    </row>
    <row r="4" spans="2:8" x14ac:dyDescent="0.25">
      <c r="D4">
        <f>SETTORI!C9</f>
        <v>0</v>
      </c>
      <c r="E4" t="s">
        <v>36</v>
      </c>
      <c r="H4" s="58"/>
    </row>
    <row r="5" spans="2:8" x14ac:dyDescent="0.25">
      <c r="B5" t="s">
        <v>63</v>
      </c>
      <c r="C5">
        <f>(1/2)*EQUAZIONI!H65*'INTEGRALI DI EFFLUSSO'!D4^(2)-(1/2)*EQUAZIONI!H65*'INTEGRALI DI EFFLUSSO'!D6^(2)</f>
        <v>0</v>
      </c>
      <c r="E5" t="s">
        <v>10</v>
      </c>
      <c r="F5" s="6" t="s">
        <v>25</v>
      </c>
      <c r="G5" s="35">
        <f>CALCOLO!$E$24/2</f>
        <v>0.42499999999999999</v>
      </c>
      <c r="H5" s="58"/>
    </row>
    <row r="6" spans="2:8" x14ac:dyDescent="0.25">
      <c r="D6">
        <f>SETTORI!C7</f>
        <v>0</v>
      </c>
      <c r="E6" t="s">
        <v>35</v>
      </c>
      <c r="F6" s="6"/>
      <c r="G6" s="35"/>
      <c r="H6" s="58"/>
    </row>
    <row r="7" spans="2:8" x14ac:dyDescent="0.25">
      <c r="F7" s="6"/>
      <c r="G7" s="35"/>
      <c r="H7" s="58"/>
    </row>
    <row r="8" spans="2:8" x14ac:dyDescent="0.25">
      <c r="F8" s="6"/>
      <c r="G8" s="35"/>
      <c r="H8" s="58"/>
    </row>
    <row r="9" spans="2:8" x14ac:dyDescent="0.25">
      <c r="D9">
        <f>SETTORI!C14</f>
        <v>0</v>
      </c>
      <c r="E9" t="s">
        <v>37</v>
      </c>
      <c r="F9" s="6"/>
      <c r="G9" s="35"/>
      <c r="H9" s="58"/>
    </row>
    <row r="10" spans="2:8" x14ac:dyDescent="0.25">
      <c r="B10" t="s">
        <v>64</v>
      </c>
      <c r="C10">
        <f>(1/2)*EQUAZIONI!H67*'INTEGRALI DI EFFLUSSO'!D9^(2)+EQUAZIONI!H68*'INTEGRALI DI EFFLUSSO'!D9-(1/2)*EQUAZIONI!H67*'INTEGRALI DI EFFLUSSO'!D11^(2)-EQUAZIONI!H68*'INTEGRALI DI EFFLUSSO'!D11</f>
        <v>0</v>
      </c>
      <c r="E10" t="s">
        <v>10</v>
      </c>
      <c r="F10" s="6" t="s">
        <v>25</v>
      </c>
      <c r="G10" s="35">
        <f>CALCOLO!$E$24/2</f>
        <v>0.42499999999999999</v>
      </c>
      <c r="H10" s="58"/>
    </row>
    <row r="11" spans="2:8" x14ac:dyDescent="0.25">
      <c r="D11">
        <f>SETTORI!C12</f>
        <v>0</v>
      </c>
      <c r="E11" t="s">
        <v>36</v>
      </c>
      <c r="F11" s="6"/>
      <c r="G11" s="35"/>
      <c r="H11" s="58"/>
    </row>
    <row r="12" spans="2:8" x14ac:dyDescent="0.25">
      <c r="F12" s="6"/>
      <c r="G12" s="35"/>
      <c r="H12" s="58"/>
    </row>
    <row r="13" spans="2:8" x14ac:dyDescent="0.25">
      <c r="F13" s="6"/>
      <c r="G13" s="35"/>
      <c r="H13" s="58"/>
    </row>
    <row r="14" spans="2:8" x14ac:dyDescent="0.25">
      <c r="D14">
        <f>SETTORI!C19</f>
        <v>0</v>
      </c>
      <c r="E14" t="s">
        <v>38</v>
      </c>
      <c r="F14" s="6"/>
      <c r="G14" s="35"/>
      <c r="H14" s="58"/>
    </row>
    <row r="15" spans="2:8" x14ac:dyDescent="0.25">
      <c r="B15" t="s">
        <v>65</v>
      </c>
      <c r="C15">
        <f>(1/2)*EQUAZIONI!H69*'INTEGRALI DI EFFLUSSO'!D14^(2)+EQUAZIONI!H70*'INTEGRALI DI EFFLUSSO'!D14-(1/2)*EQUAZIONI!H69*'INTEGRALI DI EFFLUSSO'!D16^(2)-EQUAZIONI!H70*'INTEGRALI DI EFFLUSSO'!D16</f>
        <v>0</v>
      </c>
      <c r="E15" t="s">
        <v>10</v>
      </c>
      <c r="F15" s="6" t="s">
        <v>25</v>
      </c>
      <c r="G15" s="35">
        <f>CALCOLO!$E$24/2</f>
        <v>0.42499999999999999</v>
      </c>
      <c r="H15" s="58"/>
    </row>
    <row r="16" spans="2:8" x14ac:dyDescent="0.25">
      <c r="D16">
        <f>SETTORI!C17</f>
        <v>0</v>
      </c>
      <c r="E16" t="s">
        <v>37</v>
      </c>
      <c r="F16" s="6"/>
      <c r="G16" s="35"/>
      <c r="H16" s="58"/>
    </row>
    <row r="17" spans="2:9" x14ac:dyDescent="0.25">
      <c r="F17" s="6"/>
      <c r="G17" s="35"/>
      <c r="H17" s="58"/>
    </row>
    <row r="18" spans="2:9" x14ac:dyDescent="0.25">
      <c r="F18" s="6"/>
      <c r="G18" s="35"/>
      <c r="H18" s="58"/>
    </row>
    <row r="19" spans="2:9" x14ac:dyDescent="0.25">
      <c r="D19">
        <f>SETTORI!C24</f>
        <v>0</v>
      </c>
      <c r="E19" t="s">
        <v>39</v>
      </c>
      <c r="F19" s="6"/>
      <c r="G19" s="35"/>
      <c r="H19" s="58"/>
    </row>
    <row r="20" spans="2:9" x14ac:dyDescent="0.25">
      <c r="B20" t="s">
        <v>66</v>
      </c>
      <c r="C20">
        <f>(1/2)*EQUAZIONI!H71*'INTEGRALI DI EFFLUSSO'!D19^(2)+EQUAZIONI!H72*'INTEGRALI DI EFFLUSSO'!D19-(1/2)*EQUAZIONI!H71*'INTEGRALI DI EFFLUSSO'!D21^(2)-EQUAZIONI!H72*'INTEGRALI DI EFFLUSSO'!D21</f>
        <v>0</v>
      </c>
      <c r="E20" t="s">
        <v>10</v>
      </c>
      <c r="F20" s="6" t="s">
        <v>25</v>
      </c>
      <c r="G20" s="35">
        <f>CALCOLO!$E$24/2</f>
        <v>0.42499999999999999</v>
      </c>
      <c r="H20" s="58"/>
    </row>
    <row r="21" spans="2:9" x14ac:dyDescent="0.25">
      <c r="D21">
        <f>SETTORI!C22</f>
        <v>0</v>
      </c>
      <c r="E21" t="s">
        <v>38</v>
      </c>
      <c r="F21" s="6"/>
      <c r="G21" s="35"/>
      <c r="H21" s="58"/>
    </row>
    <row r="22" spans="2:9" x14ac:dyDescent="0.25">
      <c r="F22" s="6"/>
      <c r="G22" s="35"/>
      <c r="H22" s="58"/>
    </row>
    <row r="23" spans="2:9" x14ac:dyDescent="0.25">
      <c r="F23" s="6"/>
      <c r="G23" s="35"/>
      <c r="H23" s="58"/>
    </row>
    <row r="24" spans="2:9" x14ac:dyDescent="0.25">
      <c r="D24">
        <f>SETTORI!C29</f>
        <v>0</v>
      </c>
      <c r="E24" t="s">
        <v>40</v>
      </c>
      <c r="F24" s="6"/>
      <c r="G24" s="35"/>
      <c r="H24" s="58"/>
    </row>
    <row r="25" spans="2:9" x14ac:dyDescent="0.25">
      <c r="B25" t="s">
        <v>67</v>
      </c>
      <c r="C25">
        <f>(1/2)*EQUAZIONI!H73*'INTEGRALI DI EFFLUSSO'!D24^(2)+EQUAZIONI!H74*'INTEGRALI DI EFFLUSSO'!D24-(1/2)*EQUAZIONI!H73*'INTEGRALI DI EFFLUSSO'!D26^(2)-EQUAZIONI!H74*'INTEGRALI DI EFFLUSSO'!D26</f>
        <v>0</v>
      </c>
      <c r="E25" t="s">
        <v>10</v>
      </c>
      <c r="F25" s="6" t="s">
        <v>25</v>
      </c>
      <c r="G25" s="35">
        <f>CALCOLO!$E$24/2</f>
        <v>0.42499999999999999</v>
      </c>
      <c r="H25" s="58"/>
    </row>
    <row r="26" spans="2:9" x14ac:dyDescent="0.25">
      <c r="D26">
        <f>SETTORI!C27</f>
        <v>0</v>
      </c>
      <c r="E26" t="s">
        <v>39</v>
      </c>
      <c r="F26" s="6"/>
      <c r="G26" s="35"/>
      <c r="H26" s="58"/>
    </row>
    <row r="27" spans="2:9" x14ac:dyDescent="0.25">
      <c r="F27" s="6"/>
      <c r="G27" s="35"/>
      <c r="H27" s="58"/>
    </row>
    <row r="28" spans="2:9" x14ac:dyDescent="0.25">
      <c r="F28" s="6"/>
      <c r="G28" s="35"/>
      <c r="H28" s="58"/>
    </row>
    <row r="29" spans="2:9" x14ac:dyDescent="0.25">
      <c r="D29">
        <f>SETTORI!C34</f>
        <v>0.12447961799571729</v>
      </c>
      <c r="E29" t="s">
        <v>41</v>
      </c>
      <c r="F29" s="6"/>
      <c r="G29" s="35"/>
      <c r="H29" s="58"/>
    </row>
    <row r="30" spans="2:9" ht="18.75" x14ac:dyDescent="0.3">
      <c r="B30" t="s">
        <v>68</v>
      </c>
      <c r="C30">
        <f>(1/2)*EQUAZIONI!H75*'INTEGRALI DI EFFLUSSO'!D29^(2)+EQUAZIONI!H76*'INTEGRALI DI EFFLUSSO'!D29-(1/2)*EQUAZIONI!H75*'INTEGRALI DI EFFLUSSO'!D31^(2)-EQUAZIONI!H76*'INTEGRALI DI EFFLUSSO'!D31</f>
        <v>6.467472333918492E-3</v>
      </c>
      <c r="E30" t="s">
        <v>10</v>
      </c>
      <c r="F30" s="6" t="s">
        <v>25</v>
      </c>
      <c r="G30" s="35">
        <f>CALCOLO!$E$24/2</f>
        <v>0.42499999999999999</v>
      </c>
      <c r="H30" s="58"/>
      <c r="I30" s="22" t="s">
        <v>235</v>
      </c>
    </row>
    <row r="31" spans="2:9" x14ac:dyDescent="0.25">
      <c r="D31">
        <f>SETTORI!C32</f>
        <v>0.10200000000000001</v>
      </c>
      <c r="E31" t="s">
        <v>40</v>
      </c>
      <c r="F31" s="6"/>
      <c r="G31" s="35"/>
      <c r="H31" s="58"/>
    </row>
    <row r="32" spans="2:9" x14ac:dyDescent="0.25">
      <c r="F32" s="6"/>
      <c r="G32" s="35"/>
      <c r="H32" s="58"/>
    </row>
    <row r="33" spans="2:10" x14ac:dyDescent="0.25">
      <c r="F33" s="6"/>
      <c r="G33" s="35"/>
      <c r="H33" s="58"/>
    </row>
    <row r="34" spans="2:10" x14ac:dyDescent="0.25">
      <c r="D34">
        <f>SETTORI!C39</f>
        <v>0.16627639267129371</v>
      </c>
      <c r="E34" t="s">
        <v>78</v>
      </c>
      <c r="F34" s="6"/>
      <c r="G34" s="35"/>
      <c r="H34" s="58"/>
    </row>
    <row r="35" spans="2:10" ht="18.75" x14ac:dyDescent="0.3">
      <c r="B35" t="s">
        <v>194</v>
      </c>
      <c r="C35">
        <f>(1/2)*EQUAZIONI!H77*'INTEGRALI DI EFFLUSSO'!D34^(2)+EQUAZIONI!H78*'INTEGRALI DI EFFLUSSO'!D34-(1/2)*EQUAZIONI!H77*'INTEGRALI DI EFFLUSSO'!D36^(2)-EQUAZIONI!H78*'INTEGRALI DI EFFLUSSO'!D36</f>
        <v>1.3326808641507662E-2</v>
      </c>
      <c r="E35" t="s">
        <v>10</v>
      </c>
      <c r="F35" s="6" t="s">
        <v>25</v>
      </c>
      <c r="G35" s="35">
        <f>CALCOLO!$E$24/2</f>
        <v>0.42499999999999999</v>
      </c>
      <c r="H35" s="58"/>
      <c r="I35" s="60" t="s">
        <v>219</v>
      </c>
      <c r="J35">
        <f>C5+C10+C15+C20+C25+C30+C35+C40+C45+C50+C55+C60</f>
        <v>0.1223526027431589</v>
      </c>
    </row>
    <row r="36" spans="2:10" x14ac:dyDescent="0.25">
      <c r="D36">
        <f>SETTORI!C37</f>
        <v>0.12447961799571729</v>
      </c>
      <c r="E36" t="s">
        <v>41</v>
      </c>
      <c r="F36" s="6"/>
      <c r="G36" s="35"/>
      <c r="H36" s="58"/>
    </row>
    <row r="37" spans="2:10" x14ac:dyDescent="0.25">
      <c r="F37" s="6"/>
      <c r="G37" s="35"/>
      <c r="H37" s="58"/>
    </row>
    <row r="38" spans="2:10" x14ac:dyDescent="0.25">
      <c r="F38" s="6"/>
      <c r="G38" s="35"/>
      <c r="H38" s="58"/>
    </row>
    <row r="39" spans="2:10" x14ac:dyDescent="0.25">
      <c r="D39">
        <f>SETTORI!C44</f>
        <v>0.21249999999999997</v>
      </c>
      <c r="E39" t="s">
        <v>79</v>
      </c>
      <c r="F39" s="6"/>
      <c r="G39" s="35"/>
      <c r="H39" s="58"/>
    </row>
    <row r="40" spans="2:10" x14ac:dyDescent="0.25">
      <c r="B40" t="s">
        <v>195</v>
      </c>
      <c r="C40">
        <f>(1/2)*EQUAZIONI!H79*'INTEGRALI DI EFFLUSSO'!D39^(2)+EQUAZIONI!H80*'INTEGRALI DI EFFLUSSO'!D39-(1/2)*EQUAZIONI!H79*'INTEGRALI DI EFFLUSSO'!D41^(2)-EQUAZIONI!H80*'INTEGRALI DI EFFLUSSO'!D41</f>
        <v>1.629927518859809E-2</v>
      </c>
      <c r="E40" t="s">
        <v>10</v>
      </c>
      <c r="F40" s="6" t="s">
        <v>25</v>
      </c>
      <c r="G40" s="35">
        <f>CALCOLO!$E$24/2</f>
        <v>0.42499999999999999</v>
      </c>
      <c r="H40" s="58"/>
    </row>
    <row r="41" spans="2:10" x14ac:dyDescent="0.25">
      <c r="D41">
        <f>SETTORI!C42</f>
        <v>0.16627639267129371</v>
      </c>
      <c r="E41" t="s">
        <v>78</v>
      </c>
      <c r="F41" s="6"/>
      <c r="G41" s="35"/>
      <c r="H41" s="58"/>
    </row>
    <row r="42" spans="2:10" x14ac:dyDescent="0.25">
      <c r="F42" s="6"/>
      <c r="G42" s="35"/>
      <c r="H42" s="58"/>
    </row>
    <row r="43" spans="2:10" x14ac:dyDescent="0.25">
      <c r="F43" s="6"/>
      <c r="G43" s="35"/>
      <c r="H43" s="58"/>
    </row>
    <row r="44" spans="2:10" x14ac:dyDescent="0.25">
      <c r="D44">
        <f>SETTORI!C49</f>
        <v>0.26235954124483685</v>
      </c>
      <c r="E44" t="s">
        <v>80</v>
      </c>
      <c r="F44" s="6"/>
      <c r="G44" s="35"/>
      <c r="H44" s="58"/>
    </row>
    <row r="45" spans="2:10" x14ac:dyDescent="0.25">
      <c r="B45" t="s">
        <v>196</v>
      </c>
      <c r="C45">
        <f>(1/2)*EQUAZIONI!H81*'INTEGRALI DI EFFLUSSO'!D44^(2)+EQUAZIONI!H82*'INTEGRALI DI EFFLUSSO'!D44-(1/2)*EQUAZIONI!H81*'INTEGRALI DI EFFLUSSO'!D46^(2)-EQUAZIONI!H82*'INTEGRALI DI EFFLUSSO'!D46</f>
        <v>1.8964315786559424E-2</v>
      </c>
      <c r="E45" t="s">
        <v>10</v>
      </c>
      <c r="F45" s="6" t="s">
        <v>25</v>
      </c>
      <c r="G45" s="35">
        <f>CALCOLO!$E$24/2</f>
        <v>0.42499999999999999</v>
      </c>
      <c r="H45" s="58"/>
    </row>
    <row r="46" spans="2:10" x14ac:dyDescent="0.25">
      <c r="D46">
        <f>SETTORI!C47</f>
        <v>0.21249999999999997</v>
      </c>
      <c r="E46" t="s">
        <v>79</v>
      </c>
      <c r="F46" s="6"/>
      <c r="G46" s="35"/>
      <c r="H46" s="58"/>
    </row>
    <row r="47" spans="2:10" x14ac:dyDescent="0.25">
      <c r="F47" s="6"/>
      <c r="G47" s="35"/>
      <c r="H47" s="58"/>
    </row>
    <row r="48" spans="2:10" x14ac:dyDescent="0.25">
      <c r="F48" s="6"/>
      <c r="G48" s="35"/>
      <c r="H48" s="58"/>
    </row>
    <row r="49" spans="2:8" x14ac:dyDescent="0.25">
      <c r="D49">
        <f>SETTORI!C54</f>
        <v>0.31500190583142862</v>
      </c>
      <c r="E49" t="s">
        <v>81</v>
      </c>
      <c r="F49" s="6"/>
      <c r="G49" s="35"/>
      <c r="H49" s="58"/>
    </row>
    <row r="50" spans="2:8" x14ac:dyDescent="0.25">
      <c r="B50" t="s">
        <v>197</v>
      </c>
      <c r="C50">
        <f>(1/2)*EQUAZIONI!H83*'INTEGRALI DI EFFLUSSO'!D49^(2)+EQUAZIONI!H84*'INTEGRALI DI EFFLUSSO'!D49-(1/2)*EQUAZIONI!H83*'INTEGRALI DI EFFLUSSO'!D51^(2)-EQUAZIONI!H84*'INTEGRALI DI EFFLUSSO'!D51</f>
        <v>2.1140312322828425E-2</v>
      </c>
      <c r="E50" t="s">
        <v>10</v>
      </c>
      <c r="F50" s="6" t="s">
        <v>25</v>
      </c>
      <c r="G50" s="35">
        <f>CALCOLO!$E$24/2</f>
        <v>0.42499999999999999</v>
      </c>
      <c r="H50" s="58"/>
    </row>
    <row r="51" spans="2:8" x14ac:dyDescent="0.25">
      <c r="D51">
        <f>SETTORI!C52</f>
        <v>0.26235954124483685</v>
      </c>
      <c r="E51" t="s">
        <v>80</v>
      </c>
      <c r="F51" s="6"/>
      <c r="G51" s="35"/>
      <c r="H51" s="58"/>
    </row>
    <row r="52" spans="2:8" x14ac:dyDescent="0.25">
      <c r="F52" s="6"/>
      <c r="G52" s="35"/>
      <c r="H52" s="58"/>
    </row>
    <row r="53" spans="2:8" x14ac:dyDescent="0.25">
      <c r="F53" s="6"/>
      <c r="G53" s="35"/>
      <c r="H53" s="58"/>
    </row>
    <row r="54" spans="2:8" x14ac:dyDescent="0.25">
      <c r="D54">
        <f>SETTORI!C59</f>
        <v>0.369526368306478</v>
      </c>
      <c r="E54" t="s">
        <v>82</v>
      </c>
      <c r="F54" s="6"/>
      <c r="G54" s="35"/>
      <c r="H54" s="58"/>
    </row>
    <row r="55" spans="2:8" x14ac:dyDescent="0.25">
      <c r="B55" t="s">
        <v>198</v>
      </c>
      <c r="C55">
        <f>(1/2)*EQUAZIONI!H85*'INTEGRALI DI EFFLUSSO'!D54^(2)+EQUAZIONI!H86*'INTEGRALI DI EFFLUSSO'!D54-(1/2)*EQUAZIONI!H85*'INTEGRALI DI EFFLUSSO'!D56^(2)-EQUAZIONI!H86*'INTEGRALI DI EFFLUSSO'!D56</f>
        <v>2.2678974229462689E-2</v>
      </c>
      <c r="E55" t="s">
        <v>10</v>
      </c>
      <c r="F55" s="6" t="s">
        <v>25</v>
      </c>
      <c r="G55" s="35">
        <f>CALCOLO!$E$24/2</f>
        <v>0.42499999999999999</v>
      </c>
      <c r="H55" s="58"/>
    </row>
    <row r="56" spans="2:8" x14ac:dyDescent="0.25">
      <c r="D56">
        <f>SETTORI!C57</f>
        <v>0.31500190583142862</v>
      </c>
      <c r="E56" t="s">
        <v>81</v>
      </c>
      <c r="F56" s="6"/>
      <c r="G56" s="35"/>
      <c r="H56" s="58"/>
    </row>
    <row r="57" spans="2:8" x14ac:dyDescent="0.25">
      <c r="F57" s="6"/>
      <c r="G57" s="35"/>
      <c r="H57" s="58"/>
    </row>
    <row r="58" spans="2:8" x14ac:dyDescent="0.25">
      <c r="F58" s="6"/>
      <c r="G58" s="35"/>
      <c r="H58" s="58"/>
    </row>
    <row r="59" spans="2:8" x14ac:dyDescent="0.25">
      <c r="D59">
        <f>SETTORI!C64</f>
        <v>0.42499999999999993</v>
      </c>
      <c r="E59" t="s">
        <v>83</v>
      </c>
      <c r="F59" s="6"/>
      <c r="G59" s="35"/>
      <c r="H59" s="58"/>
    </row>
    <row r="60" spans="2:8" x14ac:dyDescent="0.25">
      <c r="B60" t="s">
        <v>199</v>
      </c>
      <c r="C60">
        <f>(1/2)*EQUAZIONI!H87*'INTEGRALI DI EFFLUSSO'!D59^(2)+EQUAZIONI!H88*'INTEGRALI DI EFFLUSSO'!D59-(1/2)*EQUAZIONI!H87*'INTEGRALI DI EFFLUSSO'!D61^(2)-EQUAZIONI!H88*'INTEGRALI DI EFFLUSSO'!D61</f>
        <v>2.347544424028411E-2</v>
      </c>
      <c r="E60" t="s">
        <v>10</v>
      </c>
      <c r="F60" s="6" t="s">
        <v>25</v>
      </c>
      <c r="G60" s="35">
        <f>CALCOLO!$E$24/2</f>
        <v>0.42499999999999999</v>
      </c>
      <c r="H60" s="58"/>
    </row>
    <row r="61" spans="2:8" x14ac:dyDescent="0.25">
      <c r="D61">
        <f>SETTORI!C62</f>
        <v>0.369526368306478</v>
      </c>
      <c r="E61" t="s">
        <v>82</v>
      </c>
      <c r="F61" s="6"/>
      <c r="G61" s="35"/>
    </row>
    <row r="62" spans="2:8" x14ac:dyDescent="0.25">
      <c r="F62" s="6"/>
      <c r="G62" s="35"/>
    </row>
    <row r="63" spans="2:8" x14ac:dyDescent="0.25">
      <c r="F63" s="6"/>
      <c r="G63" s="35"/>
    </row>
    <row r="64" spans="2:8" x14ac:dyDescent="0.25">
      <c r="D64">
        <f>SETTORI!C69</f>
        <v>0.48047363169352192</v>
      </c>
      <c r="E64" t="s">
        <v>84</v>
      </c>
      <c r="F64" s="6"/>
      <c r="G64" s="35"/>
    </row>
    <row r="65" spans="2:8" x14ac:dyDescent="0.25">
      <c r="B65" t="s">
        <v>200</v>
      </c>
      <c r="C65">
        <f>(1/2)*EQUAZIONI!H89*'INTEGRALI DI EFFLUSSO'!D64^(2)+EQUAZIONI!H90*'INTEGRALI DI EFFLUSSO'!D64-(1/2)*EQUAZIONI!H89*'INTEGRALI DI EFFLUSSO'!D66^(2)-EQUAZIONI!H90*'INTEGRALI DI EFFLUSSO'!D66</f>
        <v>2.3475444240284138E-2</v>
      </c>
      <c r="E65" t="s">
        <v>10</v>
      </c>
      <c r="F65" s="6" t="s">
        <v>25</v>
      </c>
      <c r="G65" s="35">
        <f>CALCOLO!$E$24/2</f>
        <v>0.42499999999999999</v>
      </c>
      <c r="H65" s="58"/>
    </row>
    <row r="66" spans="2:8" x14ac:dyDescent="0.25">
      <c r="D66">
        <f>SETTORI!C67</f>
        <v>0.42499999999999993</v>
      </c>
      <c r="E66" t="s">
        <v>83</v>
      </c>
      <c r="F66" s="6"/>
      <c r="G66" s="35"/>
      <c r="H66" s="58"/>
    </row>
    <row r="67" spans="2:8" x14ac:dyDescent="0.25">
      <c r="F67" s="6"/>
      <c r="G67" s="35"/>
      <c r="H67" s="58"/>
    </row>
    <row r="68" spans="2:8" x14ac:dyDescent="0.25">
      <c r="F68" s="6"/>
      <c r="G68" s="35"/>
      <c r="H68" s="58"/>
    </row>
    <row r="69" spans="2:8" x14ac:dyDescent="0.25">
      <c r="D69">
        <f>SETTORI!C74</f>
        <v>0.53499809416857125</v>
      </c>
      <c r="E69" t="s">
        <v>85</v>
      </c>
      <c r="F69" s="6"/>
      <c r="G69" s="35"/>
      <c r="H69" s="58"/>
    </row>
    <row r="70" spans="2:8" x14ac:dyDescent="0.25">
      <c r="B70" t="s">
        <v>201</v>
      </c>
      <c r="C70">
        <f>(1/2)*EQUAZIONI!H91*'INTEGRALI DI EFFLUSSO'!D69^(2)+EQUAZIONI!H92*'INTEGRALI DI EFFLUSSO'!D69-(1/2)*EQUAZIONI!H91*'INTEGRALI DI EFFLUSSO'!D71^(2)-EQUAZIONI!H92*'INTEGRALI DI EFFLUSSO'!D71</f>
        <v>2.2678974229462717E-2</v>
      </c>
      <c r="E70" t="s">
        <v>10</v>
      </c>
      <c r="F70" s="6" t="s">
        <v>25</v>
      </c>
      <c r="G70" s="35">
        <f>CALCOLO!$E$24/2</f>
        <v>0.42499999999999999</v>
      </c>
      <c r="H70" s="58"/>
    </row>
    <row r="71" spans="2:8" x14ac:dyDescent="0.25">
      <c r="D71">
        <f>SETTORI!C72</f>
        <v>0.48047363169352192</v>
      </c>
      <c r="E71" t="s">
        <v>84</v>
      </c>
      <c r="F71" s="6"/>
      <c r="G71" s="35"/>
      <c r="H71" s="58"/>
    </row>
    <row r="72" spans="2:8" x14ac:dyDescent="0.25">
      <c r="F72" s="6"/>
      <c r="G72" s="35"/>
      <c r="H72" s="58"/>
    </row>
    <row r="73" spans="2:8" x14ac:dyDescent="0.25">
      <c r="F73" s="6"/>
      <c r="G73" s="35"/>
      <c r="H73" s="58"/>
    </row>
    <row r="74" spans="2:8" x14ac:dyDescent="0.25">
      <c r="D74">
        <f>SETTORI!C79</f>
        <v>0.58764045875516313</v>
      </c>
      <c r="E74" t="s">
        <v>86</v>
      </c>
      <c r="F74" s="6"/>
      <c r="G74" s="35"/>
      <c r="H74" s="58"/>
    </row>
    <row r="75" spans="2:8" x14ac:dyDescent="0.25">
      <c r="B75" t="s">
        <v>202</v>
      </c>
      <c r="C75">
        <f>(1/2)*EQUAZIONI!H93*'INTEGRALI DI EFFLUSSO'!D74^(2)+EQUAZIONI!H94*'INTEGRALI DI EFFLUSSO'!D74-(1/2)*EQUAZIONI!H93*'INTEGRALI DI EFFLUSSO'!D76^(2)-EQUAZIONI!H94*'INTEGRALI DI EFFLUSSO'!D76</f>
        <v>2.1140312322828425E-2</v>
      </c>
      <c r="E75" t="s">
        <v>10</v>
      </c>
      <c r="F75" s="6" t="s">
        <v>25</v>
      </c>
      <c r="G75" s="35">
        <f>CALCOLO!$E$24/2</f>
        <v>0.42499999999999999</v>
      </c>
      <c r="H75" s="58"/>
    </row>
    <row r="76" spans="2:8" x14ac:dyDescent="0.25">
      <c r="D76">
        <f>SETTORI!C77</f>
        <v>0.53499809416857125</v>
      </c>
      <c r="E76" t="s">
        <v>85</v>
      </c>
      <c r="F76" s="6"/>
      <c r="G76" s="35"/>
      <c r="H76" s="58"/>
    </row>
    <row r="77" spans="2:8" x14ac:dyDescent="0.25">
      <c r="F77" s="6"/>
      <c r="G77" s="35"/>
      <c r="H77" s="58"/>
    </row>
    <row r="78" spans="2:8" x14ac:dyDescent="0.25">
      <c r="F78" s="6"/>
      <c r="G78" s="35"/>
      <c r="H78" s="58"/>
    </row>
    <row r="79" spans="2:8" x14ac:dyDescent="0.25">
      <c r="D79">
        <f>SETTORI!C84</f>
        <v>0.63749999999999996</v>
      </c>
      <c r="E79" t="s">
        <v>87</v>
      </c>
      <c r="F79" s="6"/>
      <c r="G79" s="35"/>
      <c r="H79" s="58"/>
    </row>
    <row r="80" spans="2:8" x14ac:dyDescent="0.25">
      <c r="B80" t="s">
        <v>203</v>
      </c>
      <c r="C80">
        <f>(1/2)*EQUAZIONI!H95*'INTEGRALI DI EFFLUSSO'!D79^(2)+EQUAZIONI!H96*'INTEGRALI DI EFFLUSSO'!D79-(1/2)*EQUAZIONI!H95*'INTEGRALI DI EFFLUSSO'!D81^(2)-EQUAZIONI!H96*'INTEGRALI DI EFFLUSSO'!D81</f>
        <v>1.8964315786559383E-2</v>
      </c>
      <c r="E80" t="s">
        <v>10</v>
      </c>
      <c r="F80" s="6" t="s">
        <v>25</v>
      </c>
      <c r="G80" s="35">
        <f>CALCOLO!$E$24/2</f>
        <v>0.42499999999999999</v>
      </c>
      <c r="H80" s="58"/>
    </row>
    <row r="81" spans="2:10" x14ac:dyDescent="0.25">
      <c r="D81">
        <f>SETTORI!C82</f>
        <v>0.58764045875516313</v>
      </c>
      <c r="E81" t="s">
        <v>86</v>
      </c>
      <c r="F81" s="6"/>
      <c r="G81" s="35"/>
      <c r="H81" s="58"/>
    </row>
    <row r="82" spans="2:10" x14ac:dyDescent="0.25">
      <c r="F82" s="6"/>
      <c r="G82" s="35"/>
      <c r="H82" s="58"/>
    </row>
    <row r="83" spans="2:10" x14ac:dyDescent="0.25">
      <c r="F83" s="6"/>
      <c r="G83" s="35"/>
      <c r="H83" s="58"/>
    </row>
    <row r="84" spans="2:10" x14ac:dyDescent="0.25">
      <c r="D84">
        <f>SETTORI!C89</f>
        <v>0.68372360732870618</v>
      </c>
      <c r="E84" t="s">
        <v>88</v>
      </c>
      <c r="F84" s="6"/>
      <c r="G84" s="35"/>
      <c r="H84" s="58"/>
    </row>
    <row r="85" spans="2:10" x14ac:dyDescent="0.25">
      <c r="B85" t="s">
        <v>204</v>
      </c>
      <c r="C85">
        <f>(1/2)*EQUAZIONI!H97*'INTEGRALI DI EFFLUSSO'!D84^(2)+EQUAZIONI!H98*'INTEGRALI DI EFFLUSSO'!D84-(1/2)*EQUAZIONI!H97*'INTEGRALI DI EFFLUSSO'!D86^(2)-EQUAZIONI!H98*'INTEGRALI DI EFFLUSSO'!D86</f>
        <v>1.6299275188597973E-2</v>
      </c>
      <c r="E85" t="s">
        <v>10</v>
      </c>
      <c r="F85" s="6" t="s">
        <v>25</v>
      </c>
      <c r="G85" s="35">
        <f>CALCOLO!$E$24/2</f>
        <v>0.42499999999999999</v>
      </c>
      <c r="H85" s="58"/>
    </row>
    <row r="86" spans="2:10" x14ac:dyDescent="0.25">
      <c r="D86">
        <f>SETTORI!C87</f>
        <v>0.63749999999999996</v>
      </c>
      <c r="E86" t="s">
        <v>87</v>
      </c>
      <c r="F86" s="6"/>
      <c r="G86" s="35"/>
      <c r="H86" s="58"/>
    </row>
    <row r="87" spans="2:10" x14ac:dyDescent="0.25">
      <c r="F87" s="6"/>
      <c r="G87" s="35"/>
      <c r="H87" s="58"/>
    </row>
    <row r="88" spans="2:10" x14ac:dyDescent="0.25">
      <c r="F88" s="6"/>
      <c r="G88" s="35"/>
      <c r="H88" s="58"/>
    </row>
    <row r="89" spans="2:10" x14ac:dyDescent="0.25">
      <c r="D89">
        <f>SETTORI!C94</f>
        <v>0.72552038200428259</v>
      </c>
      <c r="E89" t="s">
        <v>89</v>
      </c>
      <c r="F89" s="6"/>
      <c r="G89" s="35"/>
      <c r="H89" s="58"/>
    </row>
    <row r="90" spans="2:10" ht="18.75" x14ac:dyDescent="0.3">
      <c r="B90" t="s">
        <v>205</v>
      </c>
      <c r="C90">
        <f>(1/2)*EQUAZIONI!H99*'INTEGRALI DI EFFLUSSO'!D89^(2)+EQUAZIONI!H100*'INTEGRALI DI EFFLUSSO'!D89-(1/2)*EQUAZIONI!H99*'INTEGRALI DI EFFLUSSO'!D91^(2)-EQUAZIONI!H100*'INTEGRALI DI EFFLUSSO'!D91</f>
        <v>1.3326808641507704E-2</v>
      </c>
      <c r="E90" t="s">
        <v>10</v>
      </c>
      <c r="F90" s="6" t="s">
        <v>25</v>
      </c>
      <c r="G90" s="35">
        <f>CALCOLO!$E$24/2</f>
        <v>0.42499999999999999</v>
      </c>
      <c r="H90" s="58"/>
      <c r="I90" s="22" t="s">
        <v>236</v>
      </c>
    </row>
    <row r="91" spans="2:10" x14ac:dyDescent="0.25">
      <c r="D91">
        <f>SETTORI!C92</f>
        <v>0.68372360732870618</v>
      </c>
      <c r="E91" t="s">
        <v>88</v>
      </c>
      <c r="F91" s="6"/>
      <c r="G91" s="35"/>
      <c r="H91" s="58"/>
    </row>
    <row r="92" spans="2:10" x14ac:dyDescent="0.25">
      <c r="F92" s="6"/>
      <c r="G92" s="35"/>
      <c r="H92" s="58"/>
    </row>
    <row r="93" spans="2:10" x14ac:dyDescent="0.25">
      <c r="F93" s="6"/>
      <c r="G93" s="35"/>
      <c r="H93" s="58"/>
    </row>
    <row r="94" spans="2:10" x14ac:dyDescent="0.25">
      <c r="D94">
        <f>SETTORI!C99</f>
        <v>0.76217516962377485</v>
      </c>
      <c r="E94" t="s">
        <v>90</v>
      </c>
      <c r="F94" s="6"/>
      <c r="G94" s="35"/>
      <c r="H94" s="58"/>
    </row>
    <row r="95" spans="2:10" ht="18.75" x14ac:dyDescent="0.3">
      <c r="B95" t="s">
        <v>206</v>
      </c>
      <c r="C95">
        <f>(1/2)*EQUAZIONI!H101*'INTEGRALI DI EFFLUSSO'!D94^(2)+EQUAZIONI!H102*'INTEGRALI DI EFFLUSSO'!D94-(1/2)*EQUAZIONI!H101*'INTEGRALI DI EFFLUSSO'!D96^(2)-EQUAZIONI!H102*'INTEGRALI DI EFFLUSSO'!D96</f>
        <v>1.0249484828239064E-2</v>
      </c>
      <c r="E95" t="s">
        <v>10</v>
      </c>
      <c r="F95" s="6" t="s">
        <v>25</v>
      </c>
      <c r="G95" s="35">
        <f>CALCOLO!$E$24/2</f>
        <v>0.42499999999999999</v>
      </c>
      <c r="H95" s="58"/>
      <c r="I95" s="60" t="s">
        <v>220</v>
      </c>
      <c r="J95">
        <f>C65+C70+C75+C80+C85+C90+C95+C100+C105+C110+C115+C120</f>
        <v>0.14102761291695723</v>
      </c>
    </row>
    <row r="96" spans="2:10" x14ac:dyDescent="0.25">
      <c r="D96">
        <f>SETTORI!C97</f>
        <v>0.72552038200428259</v>
      </c>
      <c r="E96" t="s">
        <v>89</v>
      </c>
      <c r="F96" s="6"/>
      <c r="G96" s="35"/>
      <c r="H96" s="58"/>
    </row>
    <row r="97" spans="2:8" x14ac:dyDescent="0.25">
      <c r="F97" s="6"/>
      <c r="G97" s="35"/>
      <c r="H97" s="58"/>
    </row>
    <row r="98" spans="2:8" x14ac:dyDescent="0.25">
      <c r="F98" s="6"/>
      <c r="G98" s="35"/>
      <c r="H98" s="58"/>
    </row>
    <row r="99" spans="2:8" x14ac:dyDescent="0.25">
      <c r="D99">
        <f>SETTORI!C104</f>
        <v>0.79306079660838635</v>
      </c>
      <c r="E99" t="s">
        <v>91</v>
      </c>
      <c r="F99" s="6"/>
      <c r="G99" s="35"/>
      <c r="H99" s="58"/>
    </row>
    <row r="100" spans="2:8" x14ac:dyDescent="0.25">
      <c r="B100" t="s">
        <v>207</v>
      </c>
      <c r="C100">
        <f>(1/2)*EQUAZIONI!H103*'INTEGRALI DI EFFLUSSO'!D99^(2)+EQUAZIONI!H104*'INTEGRALI DI EFFLUSSO'!D99-(1/2)*EQUAZIONI!H103*'INTEGRALI DI EFFLUSSO'!D101^(2)-EQUAZIONI!H104*'INTEGRALI DI EFFLUSSO'!D101</f>
        <v>7.2770182811490169E-3</v>
      </c>
      <c r="E100" t="s">
        <v>10</v>
      </c>
      <c r="F100" s="6" t="s">
        <v>25</v>
      </c>
      <c r="G100" s="35">
        <f>CALCOLO!$E$24/2</f>
        <v>0.42499999999999999</v>
      </c>
      <c r="H100" s="58"/>
    </row>
    <row r="101" spans="2:8" x14ac:dyDescent="0.25">
      <c r="D101">
        <f>SETTORI!C102</f>
        <v>0.76217516962377485</v>
      </c>
      <c r="E101" t="s">
        <v>90</v>
      </c>
      <c r="F101" s="6"/>
      <c r="G101" s="35"/>
      <c r="H101" s="58"/>
    </row>
    <row r="102" spans="2:8" x14ac:dyDescent="0.25">
      <c r="F102" s="6"/>
      <c r="G102" s="35"/>
      <c r="H102" s="58"/>
    </row>
    <row r="103" spans="2:8" x14ac:dyDescent="0.25">
      <c r="F103" s="6"/>
      <c r="G103" s="35"/>
      <c r="H103" s="58"/>
    </row>
    <row r="104" spans="2:8" x14ac:dyDescent="0.25">
      <c r="D104">
        <f>SETTORI!C109</f>
        <v>0.81764880131729678</v>
      </c>
      <c r="E104" t="s">
        <v>148</v>
      </c>
      <c r="F104" s="6"/>
      <c r="G104" s="35"/>
      <c r="H104" s="58"/>
    </row>
    <row r="105" spans="2:8" x14ac:dyDescent="0.25">
      <c r="B105" t="s">
        <v>208</v>
      </c>
      <c r="C105">
        <f>(1/2)*EQUAZIONI!H105*'INTEGRALI DI EFFLUSSO'!D104^(2)+EQUAZIONI!H106*'INTEGRALI DI EFFLUSSO'!D104-(1/2)*EQUAZIONI!H105*'INTEGRALI DI EFFLUSSO'!D106^(2)-EQUAZIONI!H106*'INTEGRALI DI EFFLUSSO'!D106</f>
        <v>4.6119776831872183E-3</v>
      </c>
      <c r="E105" t="s">
        <v>10</v>
      </c>
      <c r="F105" s="6" t="s">
        <v>25</v>
      </c>
      <c r="G105" s="35">
        <f>CALCOLO!$E$24/2</f>
        <v>0.42499999999999999</v>
      </c>
      <c r="H105" s="58"/>
    </row>
    <row r="106" spans="2:8" x14ac:dyDescent="0.25">
      <c r="D106">
        <f>SETTORI!C107</f>
        <v>0.79306079660838635</v>
      </c>
      <c r="E106" t="s">
        <v>91</v>
      </c>
      <c r="F106" s="6"/>
      <c r="G106" s="35"/>
      <c r="H106" s="58"/>
    </row>
    <row r="107" spans="2:8" x14ac:dyDescent="0.25">
      <c r="F107" s="6"/>
      <c r="G107" s="35"/>
      <c r="H107" s="58"/>
    </row>
    <row r="108" spans="2:8" x14ac:dyDescent="0.25">
      <c r="F108" s="6"/>
      <c r="G108" s="35"/>
      <c r="H108" s="58"/>
    </row>
    <row r="109" spans="2:8" x14ac:dyDescent="0.25">
      <c r="D109">
        <f>SETTORI!C114</f>
        <v>0.83551847617285391</v>
      </c>
      <c r="E109" t="s">
        <v>94</v>
      </c>
      <c r="F109" s="6"/>
      <c r="G109" s="35"/>
      <c r="H109" s="58"/>
    </row>
    <row r="110" spans="2:8" x14ac:dyDescent="0.25">
      <c r="B110" t="s">
        <v>209</v>
      </c>
      <c r="C110">
        <f>(1/2)*EQUAZIONI!H107*'INTEGRALI DI EFFLUSSO'!D109^(2)+EQUAZIONI!H108*'INTEGRALI DI EFFLUSSO'!D109-(1/2)*EQUAZIONI!H107*'INTEGRALI DI EFFLUSSO'!D111^(2)-EQUAZIONI!H108*'INTEGRALI DI EFFLUSSO'!D111</f>
        <v>2.4359811469181203E-3</v>
      </c>
      <c r="E110" t="s">
        <v>10</v>
      </c>
      <c r="F110" s="6" t="s">
        <v>25</v>
      </c>
      <c r="G110" s="35">
        <f>CALCOLO!$E$24/2</f>
        <v>0.42499999999999999</v>
      </c>
      <c r="H110" s="58"/>
    </row>
    <row r="111" spans="2:8" x14ac:dyDescent="0.25">
      <c r="D111">
        <f>SETTORI!C112</f>
        <v>0.81764880131729678</v>
      </c>
      <c r="E111" t="s">
        <v>93</v>
      </c>
      <c r="F111" s="6"/>
      <c r="G111" s="35"/>
      <c r="H111" s="58"/>
    </row>
    <row r="112" spans="2:8" x14ac:dyDescent="0.25">
      <c r="F112" s="6"/>
      <c r="G112" s="35"/>
      <c r="H112" s="58"/>
    </row>
    <row r="113" spans="2:9" x14ac:dyDescent="0.25">
      <c r="F113" s="6"/>
      <c r="G113" s="35"/>
      <c r="H113" s="58"/>
    </row>
    <row r="114" spans="2:9" x14ac:dyDescent="0.25">
      <c r="D114">
        <f>SETTORI!C119</f>
        <v>0.84150000000000003</v>
      </c>
      <c r="E114" t="s">
        <v>119</v>
      </c>
      <c r="F114" s="6"/>
      <c r="G114" s="35"/>
      <c r="H114" s="58"/>
    </row>
    <row r="115" spans="2:9" x14ac:dyDescent="0.25">
      <c r="B115" t="s">
        <v>210</v>
      </c>
      <c r="C115">
        <f>(1/2)*EQUAZIONI!H109*'INTEGRALI DI EFFLUSSO'!D114^(2)+EQUAZIONI!H110*'INTEGRALI DI EFFLUSSO'!D114-(1/2)*EQUAZIONI!H109*'INTEGRALI DI EFFLUSSO'!D116^(2)-EQUAZIONI!H110*'INTEGRALI DI EFFLUSSO'!D116</f>
        <v>5.6802056822347069E-4</v>
      </c>
      <c r="E115" t="s">
        <v>10</v>
      </c>
      <c r="F115" s="6" t="s">
        <v>25</v>
      </c>
      <c r="G115" s="35">
        <f>CALCOLO!$E$24/2</f>
        <v>0.42499999999999999</v>
      </c>
      <c r="H115" s="58"/>
    </row>
    <row r="116" spans="2:9" x14ac:dyDescent="0.25">
      <c r="D116">
        <f>SETTORI!C117</f>
        <v>0.83551847617285391</v>
      </c>
      <c r="E116" t="s">
        <v>94</v>
      </c>
      <c r="F116" s="6"/>
      <c r="G116" s="35"/>
      <c r="H116" s="58"/>
    </row>
    <row r="117" spans="2:9" x14ac:dyDescent="0.25">
      <c r="F117" s="6"/>
      <c r="G117" s="35"/>
      <c r="H117" s="58"/>
    </row>
    <row r="118" spans="2:9" x14ac:dyDescent="0.25">
      <c r="F118" s="6"/>
      <c r="G118" s="35"/>
      <c r="H118" s="58"/>
    </row>
    <row r="119" spans="2:9" x14ac:dyDescent="0.25">
      <c r="D119">
        <f>SETTORI!C124</f>
        <v>0.84636406608386938</v>
      </c>
      <c r="E119" t="s">
        <v>92</v>
      </c>
      <c r="F119" s="6"/>
      <c r="G119" s="35"/>
      <c r="H119" s="58"/>
    </row>
    <row r="120" spans="2:9" x14ac:dyDescent="0.25">
      <c r="B120" t="s">
        <v>211</v>
      </c>
      <c r="C120">
        <f>(1/2)*EQUAZIONI!H111*'INTEGRALI DI EFFLUSSO'!D119^(2)+EQUAZIONI!H112*'INTEGRALI DI EFFLUSSO'!D119-(1/2)*EQUAZIONI!H111*'INTEGRALI DI EFFLUSSO'!D121^(2)-EQUAZIONI!H112*'INTEGRALI DI EFFLUSSO'!D121</f>
        <v>0</v>
      </c>
      <c r="E120" t="s">
        <v>10</v>
      </c>
      <c r="F120" s="6" t="s">
        <v>25</v>
      </c>
      <c r="G120" s="35">
        <f>CALCOLO!$E$24/2</f>
        <v>0.42499999999999999</v>
      </c>
      <c r="H120" s="58"/>
    </row>
    <row r="121" spans="2:9" x14ac:dyDescent="0.25">
      <c r="D121">
        <f>SETTORI!C122</f>
        <v>0.84636406608386938</v>
      </c>
      <c r="E121" t="s">
        <v>119</v>
      </c>
    </row>
    <row r="123" spans="2:9" ht="18.75" x14ac:dyDescent="0.25">
      <c r="H123" s="59" t="s">
        <v>42</v>
      </c>
      <c r="I123" s="40">
        <f>C5+C10+C15+C20+C25+C30+C35+C40+C45+C50+C55+C60+C65+C70+C75+C80+C85+C90+C95+C100+C105+C110+C115+C120</f>
        <v>0.26338021566011616</v>
      </c>
    </row>
    <row r="128" spans="2:9" ht="15.75" x14ac:dyDescent="0.25">
      <c r="H128" s="24" t="s">
        <v>62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27"/>
  <sheetViews>
    <sheetView zoomScaleNormal="100" workbookViewId="0">
      <selection activeCell="A169" sqref="A169"/>
    </sheetView>
  </sheetViews>
  <sheetFormatPr defaultRowHeight="15" x14ac:dyDescent="0.25"/>
  <cols>
    <col min="2" max="2" width="16.5703125" customWidth="1"/>
    <col min="3" max="3" width="10.7109375" customWidth="1"/>
  </cols>
  <sheetData>
    <row r="2" spans="2:9" ht="21" x14ac:dyDescent="0.35">
      <c r="B2" s="5" t="s">
        <v>13</v>
      </c>
      <c r="C2" s="3"/>
      <c r="D2" s="3"/>
    </row>
    <row r="4" spans="2:9" x14ac:dyDescent="0.25">
      <c r="B4" s="61" t="s">
        <v>241</v>
      </c>
      <c r="C4" s="62">
        <f>CALCOLO!E24/2</f>
        <v>0.42499999999999999</v>
      </c>
      <c r="H4" s="16" t="s">
        <v>35</v>
      </c>
      <c r="I4" s="1">
        <f>EQUAZIONI!C34</f>
        <v>0</v>
      </c>
    </row>
    <row r="5" spans="2:9" x14ac:dyDescent="0.25">
      <c r="H5" s="16" t="s">
        <v>36</v>
      </c>
      <c r="I5" s="1">
        <f>EQUAZIONI!C35</f>
        <v>3.6359339161305734E-3</v>
      </c>
    </row>
    <row r="6" spans="2:9" x14ac:dyDescent="0.25">
      <c r="H6" s="16" t="s">
        <v>37</v>
      </c>
      <c r="I6" s="1">
        <f>EQUAZIONI!C36</f>
        <v>1.4481523827145978E-2</v>
      </c>
    </row>
    <row r="7" spans="2:9" x14ac:dyDescent="0.25">
      <c r="C7" s="18">
        <f>IF(CALCOLO!$E$31&gt;=$I$4,IF(CALCOLO!$E$31&lt;$I$5,CALCOLO!$E$31,0),$I$4)</f>
        <v>0</v>
      </c>
      <c r="D7" t="s">
        <v>35</v>
      </c>
      <c r="E7" s="13"/>
      <c r="H7" s="16" t="s">
        <v>38</v>
      </c>
      <c r="I7" s="1">
        <f>EQUAZIONI!C37</f>
        <v>3.2351198682703121E-2</v>
      </c>
    </row>
    <row r="8" spans="2:9" ht="18.75" x14ac:dyDescent="0.3">
      <c r="B8" s="25" t="s">
        <v>63</v>
      </c>
      <c r="C8" s="17"/>
      <c r="E8" s="13"/>
      <c r="H8" s="16" t="s">
        <v>39</v>
      </c>
      <c r="I8" s="1">
        <f>EQUAZIONI!C38</f>
        <v>5.6939203391613562E-2</v>
      </c>
    </row>
    <row r="9" spans="2:9" x14ac:dyDescent="0.25">
      <c r="C9" s="18">
        <f>IF(CALCOLO!$E$38&lt;=$I$5,IF(CALCOLO!$E$38&gt;=$I$4,CALCOLO!$E$38,$I$4),IF(CALCOLO!$E$31&gt;=$I$5,0,$I$5))</f>
        <v>0</v>
      </c>
      <c r="D9" t="s">
        <v>36</v>
      </c>
      <c r="E9" s="13"/>
      <c r="H9" s="16" t="s">
        <v>40</v>
      </c>
      <c r="I9" s="1">
        <f>EQUAZIONI!C39</f>
        <v>8.7824830376225044E-2</v>
      </c>
    </row>
    <row r="10" spans="2:9" x14ac:dyDescent="0.25">
      <c r="C10" s="17"/>
      <c r="E10" s="13"/>
      <c r="H10" s="16" t="s">
        <v>41</v>
      </c>
      <c r="I10" s="1">
        <f>EQUAZIONI!C40</f>
        <v>0.12447961799571729</v>
      </c>
    </row>
    <row r="11" spans="2:9" x14ac:dyDescent="0.25">
      <c r="C11" s="17"/>
      <c r="E11" s="13"/>
      <c r="H11" s="16" t="s">
        <v>78</v>
      </c>
      <c r="I11" s="1">
        <f>EQUAZIONI!C41</f>
        <v>0.16627639267129371</v>
      </c>
    </row>
    <row r="12" spans="2:9" x14ac:dyDescent="0.25">
      <c r="C12" s="18">
        <f>IF(CALCOLO!$E$31&gt;=$I$5,IF(CALCOLO!$E$31&lt;$I$6,CALCOLO!$E$31,0),$I$5)</f>
        <v>0</v>
      </c>
      <c r="D12" t="s">
        <v>36</v>
      </c>
      <c r="E12" s="13"/>
      <c r="F12" s="17"/>
      <c r="H12" s="16" t="s">
        <v>79</v>
      </c>
      <c r="I12" s="1">
        <f>EQUAZIONI!C42</f>
        <v>0.21249999999999997</v>
      </c>
    </row>
    <row r="13" spans="2:9" ht="18.75" x14ac:dyDescent="0.3">
      <c r="B13" s="25" t="s">
        <v>64</v>
      </c>
      <c r="C13" s="17"/>
      <c r="E13" s="13"/>
      <c r="H13" s="16" t="s">
        <v>80</v>
      </c>
      <c r="I13" s="1">
        <f>EQUAZIONI!C43</f>
        <v>0.26235954124483685</v>
      </c>
    </row>
    <row r="14" spans="2:9" x14ac:dyDescent="0.25">
      <c r="C14" s="18">
        <f>IF(CALCOLO!$E$38&lt;$I$6,IF(CALCOLO!$E$38&gt;=$I$5,CALCOLO!$E$38,$I$5),IF(CALCOLO!$E$31&gt;=$I$6,0,$I$6))</f>
        <v>0</v>
      </c>
      <c r="D14" t="s">
        <v>37</v>
      </c>
      <c r="E14" s="13"/>
      <c r="F14" s="13"/>
      <c r="H14" s="16" t="s">
        <v>81</v>
      </c>
      <c r="I14" s="1">
        <f>EQUAZIONI!C44</f>
        <v>0.31500190583142862</v>
      </c>
    </row>
    <row r="15" spans="2:9" x14ac:dyDescent="0.25">
      <c r="C15" s="17"/>
      <c r="E15" s="13"/>
      <c r="H15" s="16" t="s">
        <v>82</v>
      </c>
      <c r="I15" s="1">
        <f>EQUAZIONI!C45</f>
        <v>0.369526368306478</v>
      </c>
    </row>
    <row r="16" spans="2:9" x14ac:dyDescent="0.25">
      <c r="C16" s="17"/>
      <c r="E16" s="13"/>
      <c r="H16" s="16" t="s">
        <v>83</v>
      </c>
      <c r="I16" s="1">
        <f>EQUAZIONI!C46</f>
        <v>0.42499999999999993</v>
      </c>
    </row>
    <row r="17" spans="2:9" x14ac:dyDescent="0.25">
      <c r="C17" s="18">
        <f>IF(CALCOLO!$E$31&gt;=$I$6,IF(CALCOLO!$E$31&lt;$I$7,CALCOLO!$E$31,0),$I$6)</f>
        <v>0</v>
      </c>
      <c r="D17" t="s">
        <v>37</v>
      </c>
      <c r="E17" s="13"/>
      <c r="H17" s="16" t="s">
        <v>84</v>
      </c>
      <c r="I17" s="1">
        <f>EQUAZIONI!C47</f>
        <v>0.48047363169352192</v>
      </c>
    </row>
    <row r="18" spans="2:9" ht="18.75" x14ac:dyDescent="0.3">
      <c r="B18" s="25" t="s">
        <v>65</v>
      </c>
      <c r="C18" s="17"/>
      <c r="E18" s="13"/>
      <c r="H18" s="16" t="s">
        <v>85</v>
      </c>
      <c r="I18" s="1">
        <f>EQUAZIONI!C48</f>
        <v>0.53499809416857125</v>
      </c>
    </row>
    <row r="19" spans="2:9" x14ac:dyDescent="0.25">
      <c r="C19" s="18">
        <f>IF(CALCOLO!$E$38&lt;$I$7,IF(CALCOLO!$E$38&gt;=$I$6,CALCOLO!$E$38,$I$6),IF(CALCOLO!$E$31&gt;=$I$7,0,$I$7))</f>
        <v>0</v>
      </c>
      <c r="D19" t="s">
        <v>38</v>
      </c>
      <c r="E19" s="13"/>
      <c r="H19" s="16" t="s">
        <v>86</v>
      </c>
      <c r="I19" s="1">
        <f>EQUAZIONI!C49</f>
        <v>0.58764045875516313</v>
      </c>
    </row>
    <row r="20" spans="2:9" x14ac:dyDescent="0.25">
      <c r="C20" s="17"/>
      <c r="E20" s="13"/>
      <c r="H20" s="16" t="s">
        <v>87</v>
      </c>
      <c r="I20" s="1">
        <f>EQUAZIONI!C50</f>
        <v>0.63749999999999996</v>
      </c>
    </row>
    <row r="21" spans="2:9" x14ac:dyDescent="0.25">
      <c r="C21" s="17"/>
      <c r="E21" s="13"/>
      <c r="H21" s="16" t="s">
        <v>88</v>
      </c>
      <c r="I21" s="1">
        <f>EQUAZIONI!C51</f>
        <v>0.68372360732870618</v>
      </c>
    </row>
    <row r="22" spans="2:9" x14ac:dyDescent="0.25">
      <c r="C22" s="18">
        <f>IF(CALCOLO!$E$31&gt;=$I$7,IF(CALCOLO!$E$31&lt;$I$8,CALCOLO!$E$31,0),$I$7)</f>
        <v>0</v>
      </c>
      <c r="D22" t="s">
        <v>38</v>
      </c>
      <c r="E22" s="13"/>
      <c r="H22" s="16" t="s">
        <v>89</v>
      </c>
      <c r="I22" s="1">
        <f>EQUAZIONI!C52</f>
        <v>0.72552038200428259</v>
      </c>
    </row>
    <row r="23" spans="2:9" ht="18.75" x14ac:dyDescent="0.3">
      <c r="B23" s="25" t="s">
        <v>66</v>
      </c>
      <c r="C23" s="17"/>
      <c r="E23" s="13"/>
      <c r="H23" s="16" t="s">
        <v>90</v>
      </c>
      <c r="I23" s="1">
        <f>EQUAZIONI!C53</f>
        <v>0.76217516962377485</v>
      </c>
    </row>
    <row r="24" spans="2:9" x14ac:dyDescent="0.25">
      <c r="C24" s="18">
        <f>IF(CALCOLO!$E$38&lt;$I$8,IF(CALCOLO!$E$38&gt;=$I$7,CALCOLO!$E$38,$I$7),IF(CALCOLO!$E$31&gt;=$I$8,0,$I$8))</f>
        <v>0</v>
      </c>
      <c r="D24" t="s">
        <v>39</v>
      </c>
      <c r="E24" s="13"/>
      <c r="H24" s="16" t="s">
        <v>91</v>
      </c>
      <c r="I24" s="1">
        <f>EQUAZIONI!C54</f>
        <v>0.79306079660838635</v>
      </c>
    </row>
    <row r="25" spans="2:9" x14ac:dyDescent="0.25">
      <c r="C25" s="17"/>
      <c r="E25" s="13"/>
      <c r="H25" s="16" t="s">
        <v>93</v>
      </c>
      <c r="I25" s="1">
        <f>EQUAZIONI!C55</f>
        <v>0.81764880131729678</v>
      </c>
    </row>
    <row r="26" spans="2:9" x14ac:dyDescent="0.25">
      <c r="C26" s="17"/>
      <c r="E26" s="13"/>
      <c r="H26" s="16" t="s">
        <v>94</v>
      </c>
      <c r="I26" s="1">
        <f>EQUAZIONI!C56</f>
        <v>0.83551847617285391</v>
      </c>
    </row>
    <row r="27" spans="2:9" x14ac:dyDescent="0.25">
      <c r="C27" s="18">
        <f>IF(CALCOLO!$E$31&gt;=$I$8,IF(CALCOLO!$E$31&lt;$I$9,CALCOLO!$E$31,0),$I$8)</f>
        <v>0</v>
      </c>
      <c r="D27" t="s">
        <v>39</v>
      </c>
      <c r="E27" s="13"/>
      <c r="H27" s="16" t="s">
        <v>119</v>
      </c>
      <c r="I27" s="1">
        <f>EQUAZIONI!C57</f>
        <v>0.84636406608386938</v>
      </c>
    </row>
    <row r="28" spans="2:9" ht="18.75" x14ac:dyDescent="0.3">
      <c r="B28" s="25" t="s">
        <v>67</v>
      </c>
      <c r="C28" s="17"/>
      <c r="E28" s="13"/>
      <c r="H28" s="16" t="s">
        <v>92</v>
      </c>
      <c r="I28" s="1">
        <f>EQUAZIONI!C58</f>
        <v>0.84999999999999987</v>
      </c>
    </row>
    <row r="29" spans="2:9" x14ac:dyDescent="0.25">
      <c r="C29" s="18">
        <f>IF(CALCOLO!$E$38&lt;$I$9,IF(CALCOLO!$E$38&gt;=$I$8,CALCOLO!$E$38,$I$8),IF(CALCOLO!$E$31&gt;=$I$9,0,$I$9))</f>
        <v>0</v>
      </c>
      <c r="D29" t="s">
        <v>40</v>
      </c>
      <c r="E29" s="13"/>
    </row>
    <row r="30" spans="2:9" x14ac:dyDescent="0.25">
      <c r="C30" s="17"/>
      <c r="E30" s="13"/>
    </row>
    <row r="31" spans="2:9" x14ac:dyDescent="0.25">
      <c r="C31" s="17"/>
    </row>
    <row r="32" spans="2:9" x14ac:dyDescent="0.25">
      <c r="C32" s="18">
        <f>IF(CALCOLO!$E$31&gt;=I9,IF(CALCOLO!$E$31&lt;I10,CALCOLO!$E$31,0),I9)</f>
        <v>0.10200000000000001</v>
      </c>
      <c r="D32" t="s">
        <v>40</v>
      </c>
    </row>
    <row r="33" spans="2:6" ht="18.75" x14ac:dyDescent="0.3">
      <c r="B33" s="25" t="s">
        <v>68</v>
      </c>
      <c r="C33" s="17"/>
    </row>
    <row r="34" spans="2:6" x14ac:dyDescent="0.25">
      <c r="C34" s="18">
        <f>IF(CALCOLO!$E$38&lt;I10,IF(CALCOLO!$E$38&gt;=I9,CALCOLO!$E$38,I9),IF(CALCOLO!$E$31&gt;=I10,0,I10))</f>
        <v>0.12447961799571729</v>
      </c>
      <c r="D34" t="s">
        <v>41</v>
      </c>
    </row>
    <row r="35" spans="2:6" x14ac:dyDescent="0.25">
      <c r="F35" s="13"/>
    </row>
    <row r="37" spans="2:6" x14ac:dyDescent="0.25">
      <c r="C37" s="31">
        <f>IF(CALCOLO!$E$31&gt;=$I$10,IF(CALCOLO!$E$31&lt;$I$11,CALCOLO!$E$31,0),$I$10)</f>
        <v>0.12447961799571729</v>
      </c>
      <c r="D37" t="s">
        <v>41</v>
      </c>
    </row>
    <row r="38" spans="2:6" ht="18.75" x14ac:dyDescent="0.3">
      <c r="B38" s="25" t="s">
        <v>194</v>
      </c>
    </row>
    <row r="39" spans="2:6" x14ac:dyDescent="0.25">
      <c r="C39" s="31">
        <f>IF(CALCOLO!$E$38&lt;$I$11,IF(CALCOLO!$E$38&gt;=$I$10,CALCOLO!$E$38,$I$10),IF(CALCOLO!$E$31&gt;=$I$11,0,$I$11))</f>
        <v>0.16627639267129371</v>
      </c>
      <c r="D39" t="s">
        <v>78</v>
      </c>
    </row>
    <row r="40" spans="2:6" x14ac:dyDescent="0.25">
      <c r="C40" s="34"/>
    </row>
    <row r="41" spans="2:6" x14ac:dyDescent="0.25">
      <c r="C41" s="32"/>
    </row>
    <row r="42" spans="2:6" x14ac:dyDescent="0.25">
      <c r="B42" s="33"/>
      <c r="C42" s="31">
        <f>IF(CALCOLO!$E$31&gt;=$I$11,IF(CALCOLO!$E$31&lt;$I$12,CALCOLO!$E$31,0),$I$11)</f>
        <v>0.16627639267129371</v>
      </c>
      <c r="D42" t="s">
        <v>78</v>
      </c>
    </row>
    <row r="43" spans="2:6" ht="18.75" x14ac:dyDescent="0.3">
      <c r="B43" s="25" t="s">
        <v>195</v>
      </c>
    </row>
    <row r="44" spans="2:6" x14ac:dyDescent="0.25">
      <c r="C44" s="31">
        <f>IF(CALCOLO!$E$38&lt;$I$12,IF(CALCOLO!$E$38&gt;=$I$11,CALCOLO!$E$38,$I$11),IF(CALCOLO!$E$31&gt;=$I$12,0,$I$12))</f>
        <v>0.21249999999999997</v>
      </c>
      <c r="D44" t="s">
        <v>79</v>
      </c>
    </row>
    <row r="47" spans="2:6" x14ac:dyDescent="0.25">
      <c r="C47" s="31">
        <f>IF(CALCOLO!$E$31&gt;=$I$12,IF(CALCOLO!$E$31&lt;$I$13,CALCOLO!$E$31,0),$I$12)</f>
        <v>0.21249999999999997</v>
      </c>
      <c r="D47" t="s">
        <v>79</v>
      </c>
    </row>
    <row r="48" spans="2:6" ht="18.75" x14ac:dyDescent="0.3">
      <c r="B48" s="25" t="s">
        <v>196</v>
      </c>
    </row>
    <row r="49" spans="2:4" x14ac:dyDescent="0.25">
      <c r="C49" s="31">
        <f>IF(CALCOLO!$E$38&lt;$I$13,IF(CALCOLO!$E$38&gt;=$I$12,CALCOLO!$E$38,$I$12),IF(CALCOLO!$E$31&gt;=$I$13,0,$I$13))</f>
        <v>0.26235954124483685</v>
      </c>
      <c r="D49" t="s">
        <v>80</v>
      </c>
    </row>
    <row r="52" spans="2:4" x14ac:dyDescent="0.25">
      <c r="C52" s="31">
        <f>IF(CALCOLO!$E$31&gt;=$I$13,IF(CALCOLO!$E$31&lt;$I$14,CALCOLO!$E$31,0),$I$13)</f>
        <v>0.26235954124483685</v>
      </c>
      <c r="D52" t="s">
        <v>80</v>
      </c>
    </row>
    <row r="53" spans="2:4" ht="18.75" x14ac:dyDescent="0.3">
      <c r="B53" s="25" t="s">
        <v>197</v>
      </c>
    </row>
    <row r="54" spans="2:4" ht="18.75" x14ac:dyDescent="0.3">
      <c r="B54" s="25"/>
      <c r="C54" s="31">
        <f>IF(CALCOLO!$E$38&lt;$I$14,IF(CALCOLO!$E$38&gt;=$I$13,CALCOLO!$E$38,$I$13),IF(CALCOLO!$E$31&gt;=$I$14,0,$I$14))</f>
        <v>0.31500190583142862</v>
      </c>
      <c r="D54" t="s">
        <v>81</v>
      </c>
    </row>
    <row r="55" spans="2:4" ht="18.75" x14ac:dyDescent="0.3">
      <c r="B55" s="25"/>
    </row>
    <row r="57" spans="2:4" ht="18.75" x14ac:dyDescent="0.3">
      <c r="B57" s="25"/>
      <c r="C57" s="31">
        <f>IF(CALCOLO!$E$31&gt;=$I$14,IF(CALCOLO!$E$31&lt;$I$15,CALCOLO!$E$31,0),$I$14)</f>
        <v>0.31500190583142862</v>
      </c>
      <c r="D57" t="s">
        <v>81</v>
      </c>
    </row>
    <row r="58" spans="2:4" ht="18.75" x14ac:dyDescent="0.3">
      <c r="B58" s="25" t="s">
        <v>198</v>
      </c>
    </row>
    <row r="59" spans="2:4" ht="18.75" x14ac:dyDescent="0.3">
      <c r="B59" s="25"/>
      <c r="C59" s="31">
        <f>IF(CALCOLO!$E$38&lt;$I$15,IF(CALCOLO!$E$38&gt;=$I$14,CALCOLO!$E$38,$I$14),IF(CALCOLO!$E$31&gt;=$I$15,0,$I$15))</f>
        <v>0.369526368306478</v>
      </c>
      <c r="D59" t="s">
        <v>82</v>
      </c>
    </row>
    <row r="60" spans="2:4" ht="18.75" x14ac:dyDescent="0.3">
      <c r="B60" s="25"/>
    </row>
    <row r="62" spans="2:4" ht="18.75" x14ac:dyDescent="0.3">
      <c r="B62" s="25"/>
      <c r="C62" s="31">
        <f>IF(CALCOLO!$E$31&gt;=$I$15,IF(CALCOLO!$E$31&lt;$I$16,CALCOLO!$E$31,0),$I$15)</f>
        <v>0.369526368306478</v>
      </c>
      <c r="D62" t="s">
        <v>82</v>
      </c>
    </row>
    <row r="63" spans="2:4" ht="18.75" x14ac:dyDescent="0.3">
      <c r="B63" s="25" t="s">
        <v>199</v>
      </c>
    </row>
    <row r="64" spans="2:4" ht="18.75" x14ac:dyDescent="0.3">
      <c r="B64" s="25"/>
      <c r="C64" s="31">
        <f>IF(CALCOLO!$E$38&lt;$I$16,IF(CALCOLO!$E$38&gt;=$I$15,CALCOLO!$E$38,$I$15),IF(CALCOLO!$E$31&gt;=$I$16,0,$I$16))</f>
        <v>0.42499999999999993</v>
      </c>
      <c r="D64" t="s">
        <v>83</v>
      </c>
    </row>
    <row r="65" spans="2:4" ht="18.75" x14ac:dyDescent="0.3">
      <c r="B65" s="25"/>
    </row>
    <row r="67" spans="2:4" ht="18.75" x14ac:dyDescent="0.3">
      <c r="B67" s="25"/>
      <c r="C67" s="31">
        <f>IF(CALCOLO!$E$31&gt;=$I$16,IF(CALCOLO!$E$31&lt;$I$17,CALCOLO!$E$31,0),$I$16)</f>
        <v>0.42499999999999993</v>
      </c>
      <c r="D67" t="s">
        <v>83</v>
      </c>
    </row>
    <row r="68" spans="2:4" ht="18.75" x14ac:dyDescent="0.3">
      <c r="B68" s="25" t="s">
        <v>200</v>
      </c>
    </row>
    <row r="69" spans="2:4" ht="18.75" x14ac:dyDescent="0.3">
      <c r="B69" s="25"/>
      <c r="C69" s="31">
        <f>IF(CALCOLO!$E$38&lt;$I$17,IF(CALCOLO!$E$38&gt;=$I$16,CALCOLO!$E$38,$I$16),IF(CALCOLO!$E$31&gt;=$I$17,0,$I$17))</f>
        <v>0.48047363169352192</v>
      </c>
      <c r="D69" t="s">
        <v>84</v>
      </c>
    </row>
    <row r="70" spans="2:4" ht="18.75" x14ac:dyDescent="0.3">
      <c r="B70" s="25"/>
    </row>
    <row r="72" spans="2:4" ht="18.75" x14ac:dyDescent="0.3">
      <c r="B72" s="25"/>
      <c r="C72" s="31">
        <f>IF(CALCOLO!$E$31&gt;=$I$17,IF(CALCOLO!$E$31&lt;$I$18,CALCOLO!$E$31,0),$I$17)</f>
        <v>0.48047363169352192</v>
      </c>
      <c r="D72" t="s">
        <v>84</v>
      </c>
    </row>
    <row r="73" spans="2:4" ht="18.75" x14ac:dyDescent="0.3">
      <c r="B73" s="25" t="s">
        <v>201</v>
      </c>
    </row>
    <row r="74" spans="2:4" ht="18.75" x14ac:dyDescent="0.3">
      <c r="B74" s="25"/>
      <c r="C74" s="31">
        <f>IF(CALCOLO!$E$38&lt;$I$18,IF(CALCOLO!$E$38&gt;=$I$17,CALCOLO!$E$38,$I$17),IF(CALCOLO!$E$31&gt;=$I$18,0,$I$18))</f>
        <v>0.53499809416857125</v>
      </c>
      <c r="D74" t="s">
        <v>85</v>
      </c>
    </row>
    <row r="75" spans="2:4" ht="18.75" x14ac:dyDescent="0.3">
      <c r="B75" s="25"/>
    </row>
    <row r="77" spans="2:4" ht="18.75" x14ac:dyDescent="0.3">
      <c r="B77" s="25"/>
      <c r="C77" s="31">
        <f>IF(CALCOLO!$E$31&gt;=$I$18,IF(CALCOLO!$E$31&lt;$I$19,CALCOLO!$E$31,0),$I$18)</f>
        <v>0.53499809416857125</v>
      </c>
      <c r="D77" t="s">
        <v>85</v>
      </c>
    </row>
    <row r="78" spans="2:4" ht="18.75" x14ac:dyDescent="0.3">
      <c r="B78" s="25" t="s">
        <v>202</v>
      </c>
    </row>
    <row r="79" spans="2:4" ht="18.75" x14ac:dyDescent="0.3">
      <c r="B79" s="25"/>
      <c r="C79" s="31">
        <f>IF(CALCOLO!$E$38&lt;$I$19,IF(CALCOLO!$E$38&gt;=$I$18,CALCOLO!$E$38,$I$18),IF(CALCOLO!$E$31&gt;=$I$19,0,$I$19))</f>
        <v>0.58764045875516313</v>
      </c>
      <c r="D79" t="s">
        <v>86</v>
      </c>
    </row>
    <row r="80" spans="2:4" ht="18.75" x14ac:dyDescent="0.3">
      <c r="B80" s="25"/>
    </row>
    <row r="82" spans="2:4" ht="18.75" x14ac:dyDescent="0.3">
      <c r="B82" s="25"/>
      <c r="C82" s="31">
        <f>IF(CALCOLO!$E$31&gt;=$I$19,IF(CALCOLO!$E$31&lt;$I$20,CALCOLO!$E$31,0),$I$19)</f>
        <v>0.58764045875516313</v>
      </c>
      <c r="D82" t="s">
        <v>86</v>
      </c>
    </row>
    <row r="83" spans="2:4" ht="18.75" x14ac:dyDescent="0.3">
      <c r="B83" s="25" t="s">
        <v>203</v>
      </c>
    </row>
    <row r="84" spans="2:4" ht="18.75" x14ac:dyDescent="0.3">
      <c r="B84" s="25"/>
      <c r="C84" s="31">
        <f>IF(CALCOLO!$E$38&lt;$I$20,IF(CALCOLO!$E$38&gt;=$I$19,CALCOLO!$E$38,$I$19),IF(CALCOLO!$E$31&gt;=$I$20,0,$I$20))</f>
        <v>0.63749999999999996</v>
      </c>
      <c r="D84" t="s">
        <v>87</v>
      </c>
    </row>
    <row r="85" spans="2:4" ht="18.75" x14ac:dyDescent="0.3">
      <c r="B85" s="25"/>
    </row>
    <row r="87" spans="2:4" ht="18.75" x14ac:dyDescent="0.3">
      <c r="B87" s="25"/>
      <c r="C87" s="31">
        <f>IF(CALCOLO!$E$31&gt;=$I$20,IF(CALCOLO!$E$31&lt;$I$21,CALCOLO!$E$31,0),$I$20)</f>
        <v>0.63749999999999996</v>
      </c>
      <c r="D87" t="s">
        <v>87</v>
      </c>
    </row>
    <row r="88" spans="2:4" ht="18.75" x14ac:dyDescent="0.3">
      <c r="B88" s="25" t="s">
        <v>204</v>
      </c>
    </row>
    <row r="89" spans="2:4" ht="18.75" x14ac:dyDescent="0.3">
      <c r="B89" s="25"/>
      <c r="C89" s="31">
        <f>IF(CALCOLO!$E$38&lt;$I$21,IF(CALCOLO!$E$38&gt;=$I$20,CALCOLO!$E$38,$I$20),IF(CALCOLO!$E$31&gt;=$I$21,0,$I$21))</f>
        <v>0.68372360732870618</v>
      </c>
      <c r="D89" t="s">
        <v>88</v>
      </c>
    </row>
    <row r="90" spans="2:4" ht="18.75" x14ac:dyDescent="0.3">
      <c r="B90" s="25"/>
    </row>
    <row r="92" spans="2:4" ht="18.75" x14ac:dyDescent="0.3">
      <c r="B92" s="25"/>
      <c r="C92" s="31">
        <f>IF(CALCOLO!$E$31&gt;=$I$21,IF(CALCOLO!$E$31&lt;$I$22,CALCOLO!$E$31,0),$I$21)</f>
        <v>0.68372360732870618</v>
      </c>
      <c r="D92" t="s">
        <v>88</v>
      </c>
    </row>
    <row r="93" spans="2:4" ht="18.75" x14ac:dyDescent="0.3">
      <c r="B93" s="25" t="s">
        <v>205</v>
      </c>
    </row>
    <row r="94" spans="2:4" ht="18.75" x14ac:dyDescent="0.3">
      <c r="B94" s="25"/>
      <c r="C94" s="31">
        <f>IF(CALCOLO!$E$38&lt;$I$22,IF(CALCOLO!$E$38&gt;=$I$21,CALCOLO!$E$38,$I$21),IF(CALCOLO!$E$31&gt;=$I$22,0,$I$22))</f>
        <v>0.72552038200428259</v>
      </c>
      <c r="D94" t="s">
        <v>89</v>
      </c>
    </row>
    <row r="95" spans="2:4" ht="18.75" x14ac:dyDescent="0.3">
      <c r="B95" s="25"/>
    </row>
    <row r="97" spans="2:4" ht="18.75" x14ac:dyDescent="0.3">
      <c r="B97" s="25"/>
      <c r="C97" s="31">
        <f>IF(CALCOLO!$E$31&gt;=$I$22,IF(CALCOLO!$E$31&lt;$I$23,CALCOLO!$E$31,0),$I$22)</f>
        <v>0.72552038200428259</v>
      </c>
      <c r="D97" t="s">
        <v>89</v>
      </c>
    </row>
    <row r="98" spans="2:4" ht="18.75" x14ac:dyDescent="0.3">
      <c r="B98" s="25" t="s">
        <v>206</v>
      </c>
    </row>
    <row r="99" spans="2:4" ht="18.75" x14ac:dyDescent="0.3">
      <c r="B99" s="25"/>
      <c r="C99" s="31">
        <f>IF(CALCOLO!$E$38&lt;$I$23,IF(CALCOLO!$E$38&gt;=$I$22,CALCOLO!$E$38,$I$22),IF(CALCOLO!$E$31&gt;=$I$23,0,$I$23))</f>
        <v>0.76217516962377485</v>
      </c>
      <c r="D99" t="s">
        <v>90</v>
      </c>
    </row>
    <row r="100" spans="2:4" ht="18.75" x14ac:dyDescent="0.3">
      <c r="B100" s="25"/>
    </row>
    <row r="102" spans="2:4" ht="18.75" x14ac:dyDescent="0.3">
      <c r="B102" s="25"/>
      <c r="C102" s="31">
        <f>IF(CALCOLO!$E$31&gt;=$I$23,IF(CALCOLO!$E$31&lt;$I$24,CALCOLO!$E$31,0),$I$23)</f>
        <v>0.76217516962377485</v>
      </c>
      <c r="D102" t="s">
        <v>90</v>
      </c>
    </row>
    <row r="103" spans="2:4" ht="18.75" x14ac:dyDescent="0.3">
      <c r="B103" s="25" t="s">
        <v>207</v>
      </c>
    </row>
    <row r="104" spans="2:4" ht="18.75" x14ac:dyDescent="0.3">
      <c r="B104" s="25"/>
      <c r="C104" s="31">
        <f>IF(CALCOLO!$E$38&lt;$I$24,IF(CALCOLO!$E$38&gt;=$I$23,CALCOLO!$E$38,$I$23),IF(CALCOLO!$E$31&gt;=$I$24,0,$I$24))</f>
        <v>0.79306079660838635</v>
      </c>
      <c r="D104" t="s">
        <v>91</v>
      </c>
    </row>
    <row r="105" spans="2:4" ht="18.75" x14ac:dyDescent="0.3">
      <c r="B105" s="25"/>
    </row>
    <row r="107" spans="2:4" ht="18.75" x14ac:dyDescent="0.3">
      <c r="B107" s="25"/>
      <c r="C107" s="31">
        <f>IF(CALCOLO!$E$31&gt;=$I$24,IF(CALCOLO!$E$31&lt;$I$25,CALCOLO!$E$31,0),$I$24)</f>
        <v>0.79306079660838635</v>
      </c>
      <c r="D107" t="s">
        <v>91</v>
      </c>
    </row>
    <row r="108" spans="2:4" ht="18.75" x14ac:dyDescent="0.3">
      <c r="B108" s="25" t="s">
        <v>208</v>
      </c>
    </row>
    <row r="109" spans="2:4" ht="18.75" x14ac:dyDescent="0.3">
      <c r="B109" s="25"/>
      <c r="C109" s="31">
        <f>IF(CALCOLO!$E$38&lt;$I$25,IF(CALCOLO!$E$38&gt;=$I$24,CALCOLO!$E$38,$I$24),IF(CALCOLO!$E$31&gt;=$I$25,0,$I$25))</f>
        <v>0.81764880131729678</v>
      </c>
      <c r="D109" t="s">
        <v>93</v>
      </c>
    </row>
    <row r="110" spans="2:4" ht="18.75" x14ac:dyDescent="0.3">
      <c r="B110" s="25"/>
    </row>
    <row r="112" spans="2:4" ht="18.75" x14ac:dyDescent="0.3">
      <c r="B112" s="25"/>
      <c r="C112" s="31">
        <f>IF(CALCOLO!$E$31&gt;=$I$25,IF(CALCOLO!$E$31&lt;$I$26,CALCOLO!$E$31,0),$I$25)</f>
        <v>0.81764880131729678</v>
      </c>
      <c r="D112" t="s">
        <v>93</v>
      </c>
    </row>
    <row r="113" spans="2:8" ht="18.75" x14ac:dyDescent="0.3">
      <c r="B113" s="25" t="s">
        <v>209</v>
      </c>
    </row>
    <row r="114" spans="2:8" ht="18.75" x14ac:dyDescent="0.3">
      <c r="B114" s="25"/>
      <c r="C114" s="31">
        <f>IF(CALCOLO!$E$38&lt;$I$26,IF(CALCOLO!$E$38&gt;=$I$25,CALCOLO!$E$38,$I$25),IF(CALCOLO!$E$31&gt;=$I$26,0,$I$26))</f>
        <v>0.83551847617285391</v>
      </c>
      <c r="D114" t="s">
        <v>94</v>
      </c>
    </row>
    <row r="115" spans="2:8" ht="18.75" x14ac:dyDescent="0.3">
      <c r="B115" s="25"/>
    </row>
    <row r="117" spans="2:8" ht="18.75" x14ac:dyDescent="0.3">
      <c r="B117" s="25"/>
      <c r="C117" s="31">
        <f>IF(CALCOLO!$E$31&gt;=$I$26,IF(CALCOLO!$E$31&lt;$I$27,CALCOLO!$E$31,0),$I$26)</f>
        <v>0.83551847617285391</v>
      </c>
      <c r="D117" t="s">
        <v>94</v>
      </c>
    </row>
    <row r="118" spans="2:8" ht="18.75" x14ac:dyDescent="0.3">
      <c r="B118" s="25" t="s">
        <v>210</v>
      </c>
    </row>
    <row r="119" spans="2:8" ht="18.75" x14ac:dyDescent="0.3">
      <c r="B119" s="25"/>
      <c r="C119" s="31">
        <f>IF(CALCOLO!$E$38&lt;$I$27,IF(CALCOLO!$E$38&gt;=$I$26,CALCOLO!$E$38,$I$26),IF(CALCOLO!$E$31&gt;=$I$27,0,$I$27))</f>
        <v>0.84150000000000003</v>
      </c>
      <c r="D119" t="s">
        <v>119</v>
      </c>
    </row>
    <row r="120" spans="2:8" ht="18.75" x14ac:dyDescent="0.3">
      <c r="B120" s="25"/>
    </row>
    <row r="122" spans="2:8" ht="18.75" x14ac:dyDescent="0.3">
      <c r="B122" s="25"/>
      <c r="C122" s="31">
        <f>IF(CALCOLO!$E$31&gt;=$I$27,IF(CALCOLO!$E$31&lt;$I$28,CALCOLO!$E$31,0),$I$27)</f>
        <v>0.84636406608386938</v>
      </c>
      <c r="D122" t="s">
        <v>119</v>
      </c>
    </row>
    <row r="123" spans="2:8" ht="18.75" x14ac:dyDescent="0.3">
      <c r="B123" s="25" t="s">
        <v>211</v>
      </c>
    </row>
    <row r="124" spans="2:8" x14ac:dyDescent="0.25">
      <c r="C124" s="31">
        <f>IF(CALCOLO!$E$38&lt;$I$28,IF(CALCOLO!$E$38&gt;=$I$27,CALCOLO!$E$38,$I$27),IF(CALCOLO!$E$31&gt;=$I$28,0,$I$28))</f>
        <v>0.84636406608386938</v>
      </c>
      <c r="D124" t="s">
        <v>92</v>
      </c>
    </row>
    <row r="127" spans="2:8" ht="15.75" x14ac:dyDescent="0.25">
      <c r="H127" s="24" t="s">
        <v>62</v>
      </c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W124"/>
  <sheetViews>
    <sheetView topLeftCell="M1" zoomScaleNormal="100" workbookViewId="0">
      <selection activeCell="M8" sqref="M8"/>
    </sheetView>
  </sheetViews>
  <sheetFormatPr defaultRowHeight="15" x14ac:dyDescent="0.25"/>
  <cols>
    <col min="1" max="1" width="10.85546875" customWidth="1"/>
    <col min="2" max="2" width="11" customWidth="1"/>
    <col min="5" max="5" width="12.28515625" customWidth="1"/>
    <col min="11" max="12" width="9.7109375" bestFit="1" customWidth="1"/>
    <col min="14" max="14" width="13.140625" bestFit="1" customWidth="1"/>
  </cols>
  <sheetData>
    <row r="3" spans="2:23" ht="21" x14ac:dyDescent="0.35">
      <c r="B3" s="5" t="s">
        <v>227</v>
      </c>
    </row>
    <row r="5" spans="2:23" x14ac:dyDescent="0.25">
      <c r="B5" s="42" t="s">
        <v>72</v>
      </c>
      <c r="C5" s="16">
        <f>CALCOLO!E24/2</f>
        <v>0.42499999999999999</v>
      </c>
      <c r="E5" s="42" t="s">
        <v>229</v>
      </c>
      <c r="F5" s="16">
        <f>C5*SIN(7.5*PI()/180)/SIN(86.25*PI()/180)</f>
        <v>5.5592659845621596E-2</v>
      </c>
    </row>
    <row r="6" spans="2:23" ht="15.75" x14ac:dyDescent="0.25">
      <c r="J6" s="39" t="s">
        <v>56</v>
      </c>
      <c r="M6" s="90" t="s">
        <v>259</v>
      </c>
      <c r="N6" s="91"/>
      <c r="O6" s="91"/>
    </row>
    <row r="7" spans="2:23" ht="15.75" x14ac:dyDescent="0.25">
      <c r="B7" t="s">
        <v>71</v>
      </c>
      <c r="E7">
        <f>C5^2*PI()</f>
        <v>0.56745017305465628</v>
      </c>
      <c r="F7" t="s">
        <v>212</v>
      </c>
      <c r="J7" s="39" t="s">
        <v>57</v>
      </c>
      <c r="M7" s="90" t="s">
        <v>263</v>
      </c>
      <c r="N7" s="91"/>
      <c r="O7" s="91"/>
      <c r="V7" s="39">
        <v>0</v>
      </c>
      <c r="W7" s="92">
        <f>CALCOLO!$E$24/100*EQUAZIONI!V7</f>
        <v>0</v>
      </c>
    </row>
    <row r="8" spans="2:23" ht="15.75" x14ac:dyDescent="0.25">
      <c r="M8" s="90" t="s">
        <v>260</v>
      </c>
      <c r="N8" s="91"/>
      <c r="O8" s="91"/>
      <c r="V8" s="39">
        <f>V7+1</f>
        <v>1</v>
      </c>
      <c r="W8" s="92">
        <f>CALCOLO!$E$24/100*EQUAZIONI!V8</f>
        <v>8.5000000000000006E-3</v>
      </c>
    </row>
    <row r="9" spans="2:23" x14ac:dyDescent="0.25">
      <c r="B9" t="s">
        <v>73</v>
      </c>
      <c r="E9">
        <f>C5^2*SIN(0.1308999693899)*48/2</f>
        <v>0.56583222730748317</v>
      </c>
      <c r="F9" t="s">
        <v>212</v>
      </c>
      <c r="M9" s="68"/>
      <c r="N9" s="69"/>
      <c r="O9" s="69"/>
      <c r="V9" s="39">
        <f t="shared" ref="V9:V72" si="0">V8+1</f>
        <v>2</v>
      </c>
      <c r="W9" s="92">
        <f>CALCOLO!$E$24/100*EQUAZIONI!V9</f>
        <v>1.7000000000000001E-2</v>
      </c>
    </row>
    <row r="10" spans="2:23" x14ac:dyDescent="0.25">
      <c r="V10" s="39">
        <f t="shared" si="0"/>
        <v>3</v>
      </c>
      <c r="W10" s="92">
        <f>CALCOLO!$E$24/100*EQUAZIONI!V10</f>
        <v>2.5500000000000002E-2</v>
      </c>
    </row>
    <row r="11" spans="2:23" x14ac:dyDescent="0.25">
      <c r="B11" s="27" t="s">
        <v>75</v>
      </c>
      <c r="E11">
        <f>E7-E9</f>
        <v>1.6179457471731107E-3</v>
      </c>
      <c r="F11" t="s">
        <v>212</v>
      </c>
      <c r="V11" s="39">
        <f t="shared" si="0"/>
        <v>4</v>
      </c>
      <c r="W11" s="92">
        <f>CALCOLO!$E$24/100*EQUAZIONI!V11</f>
        <v>3.4000000000000002E-2</v>
      </c>
    </row>
    <row r="12" spans="2:23" ht="16.5" thickBot="1" x14ac:dyDescent="0.3">
      <c r="M12" s="75">
        <v>0.61</v>
      </c>
      <c r="N12" s="69" t="s">
        <v>20</v>
      </c>
      <c r="O12" s="74" t="s">
        <v>61</v>
      </c>
      <c r="V12" s="39">
        <f t="shared" si="0"/>
        <v>5</v>
      </c>
      <c r="W12" s="92">
        <f>CALCOLO!$E$24/100*EQUAZIONI!V12</f>
        <v>4.2500000000000003E-2</v>
      </c>
    </row>
    <row r="13" spans="2:23" ht="15.75" thickBot="1" x14ac:dyDescent="0.3">
      <c r="B13" s="27" t="s">
        <v>74</v>
      </c>
      <c r="E13">
        <f>100-E9/E7*100</f>
        <v>0.28512560644109897</v>
      </c>
      <c r="F13" t="s">
        <v>20</v>
      </c>
      <c r="M13" s="69"/>
      <c r="N13" s="69"/>
      <c r="O13" s="76" t="str">
        <f>IF(CALCOLO!C43=EQUAZIONI!M6,"si","NO")</f>
        <v>NO</v>
      </c>
      <c r="V13" s="39">
        <f t="shared" si="0"/>
        <v>6</v>
      </c>
      <c r="W13" s="92">
        <f>CALCOLO!$E$24/100*EQUAZIONI!V13</f>
        <v>5.1000000000000004E-2</v>
      </c>
    </row>
    <row r="14" spans="2:23" ht="16.5" thickBot="1" x14ac:dyDescent="0.3">
      <c r="M14" s="75">
        <v>0.51</v>
      </c>
      <c r="N14" s="69" t="s">
        <v>20</v>
      </c>
      <c r="O14" s="69"/>
      <c r="V14" s="39">
        <f t="shared" si="0"/>
        <v>7</v>
      </c>
      <c r="W14" s="92">
        <f>CALCOLO!$E$24/100*EQUAZIONI!V14</f>
        <v>5.9500000000000004E-2</v>
      </c>
    </row>
    <row r="15" spans="2:23" ht="15.75" thickBot="1" x14ac:dyDescent="0.3">
      <c r="B15" t="s">
        <v>242</v>
      </c>
      <c r="E15">
        <f>360/48/2</f>
        <v>3.75</v>
      </c>
      <c r="M15" s="69"/>
      <c r="N15" s="69"/>
      <c r="O15" s="76" t="str">
        <f>IF(CALCOLO!C43=EQUAZIONI!M7,"si","NO")</f>
        <v>NO</v>
      </c>
      <c r="V15" s="39">
        <f t="shared" si="0"/>
        <v>8</v>
      </c>
      <c r="W15" s="92">
        <f>CALCOLO!$E$24/100*EQUAZIONI!V15</f>
        <v>6.8000000000000005E-2</v>
      </c>
    </row>
    <row r="16" spans="2:23" ht="16.5" thickBot="1" x14ac:dyDescent="0.3">
      <c r="M16" s="75">
        <v>0.82</v>
      </c>
      <c r="N16" s="69" t="s">
        <v>20</v>
      </c>
      <c r="O16" s="69"/>
      <c r="V16" s="39">
        <f t="shared" si="0"/>
        <v>9</v>
      </c>
      <c r="W16" s="92">
        <f>CALCOLO!$E$24/100*EQUAZIONI!V16</f>
        <v>7.6500000000000012E-2</v>
      </c>
    </row>
    <row r="17" spans="2:23" ht="15.75" thickBot="1" x14ac:dyDescent="0.3">
      <c r="B17" s="16" t="s">
        <v>228</v>
      </c>
      <c r="D17" s="16" t="s">
        <v>76</v>
      </c>
      <c r="F17" s="16" t="s">
        <v>77</v>
      </c>
      <c r="H17" s="16"/>
      <c r="O17" s="76" t="str">
        <f>IF(CALCOLO!C43=EQUAZIONI!M8,"si","NO")</f>
        <v>si</v>
      </c>
      <c r="V17" s="39">
        <f t="shared" si="0"/>
        <v>10</v>
      </c>
      <c r="W17" s="92">
        <f>CALCOLO!$E$24/100*EQUAZIONI!V17</f>
        <v>8.5000000000000006E-2</v>
      </c>
    </row>
    <row r="18" spans="2:23" x14ac:dyDescent="0.25">
      <c r="B18">
        <f>90-E15</f>
        <v>86.25</v>
      </c>
      <c r="D18">
        <f>SIN(B18*PI()/180)</f>
        <v>0.99785892323860348</v>
      </c>
      <c r="F18">
        <f>COS(B18*PI()/180)</f>
        <v>6.5403129230143048E-2</v>
      </c>
      <c r="V18" s="39">
        <f t="shared" si="0"/>
        <v>11</v>
      </c>
      <c r="W18" s="92">
        <f>CALCOLO!$E$24/100*EQUAZIONI!V18</f>
        <v>9.35E-2</v>
      </c>
    </row>
    <row r="19" spans="2:23" x14ac:dyDescent="0.25">
      <c r="B19">
        <f t="shared" ref="B19:B29" si="1">B18-7.5</f>
        <v>78.75</v>
      </c>
      <c r="D19">
        <f t="shared" ref="D19:D29" si="2">SIN(B19*PI()/180)</f>
        <v>0.98078528040323043</v>
      </c>
      <c r="F19">
        <f t="shared" ref="F19:F29" si="3">COS(B19*PI()/180)</f>
        <v>0.19509032201612833</v>
      </c>
      <c r="V19" s="39">
        <f t="shared" si="0"/>
        <v>12</v>
      </c>
      <c r="W19" s="92">
        <f>CALCOLO!$E$24/100*EQUAZIONI!V19</f>
        <v>0.10200000000000001</v>
      </c>
    </row>
    <row r="20" spans="2:23" x14ac:dyDescent="0.25">
      <c r="B20">
        <f t="shared" si="1"/>
        <v>71.25</v>
      </c>
      <c r="D20">
        <f t="shared" si="2"/>
        <v>0.94693012949510569</v>
      </c>
      <c r="F20">
        <f t="shared" si="3"/>
        <v>0.32143946530316148</v>
      </c>
      <c r="V20" s="39">
        <f t="shared" si="0"/>
        <v>13</v>
      </c>
      <c r="W20" s="92">
        <f>CALCOLO!$E$24/100*EQUAZIONI!V20</f>
        <v>0.11050000000000001</v>
      </c>
    </row>
    <row r="21" spans="2:23" x14ac:dyDescent="0.25">
      <c r="B21">
        <f t="shared" si="1"/>
        <v>63.75</v>
      </c>
      <c r="D21">
        <f t="shared" si="2"/>
        <v>0.89687274153268837</v>
      </c>
      <c r="F21">
        <f t="shared" si="3"/>
        <v>0.44228869021900125</v>
      </c>
      <c r="V21" s="39">
        <f t="shared" si="0"/>
        <v>14</v>
      </c>
      <c r="W21" s="92">
        <f>CALCOLO!$E$24/100*EQUAZIONI!V21</f>
        <v>0.11900000000000001</v>
      </c>
    </row>
    <row r="22" spans="2:23" x14ac:dyDescent="0.25">
      <c r="B22">
        <f t="shared" si="1"/>
        <v>56.25</v>
      </c>
      <c r="D22">
        <f t="shared" si="2"/>
        <v>0.83146961230254524</v>
      </c>
      <c r="F22">
        <f t="shared" si="3"/>
        <v>0.55557023301960229</v>
      </c>
      <c r="V22" s="39">
        <f t="shared" si="0"/>
        <v>15</v>
      </c>
      <c r="W22" s="92">
        <f>CALCOLO!$E$24/100*EQUAZIONI!V22</f>
        <v>0.1275</v>
      </c>
    </row>
    <row r="23" spans="2:23" x14ac:dyDescent="0.25">
      <c r="B23">
        <f t="shared" si="1"/>
        <v>48.75</v>
      </c>
      <c r="D23">
        <f t="shared" si="2"/>
        <v>0.75183980747897727</v>
      </c>
      <c r="F23">
        <f t="shared" si="3"/>
        <v>0.65934581510006895</v>
      </c>
      <c r="V23" s="39">
        <f t="shared" si="0"/>
        <v>16</v>
      </c>
      <c r="W23" s="92">
        <f>CALCOLO!$E$24/100*EQUAZIONI!V23</f>
        <v>0.13600000000000001</v>
      </c>
    </row>
    <row r="24" spans="2:23" x14ac:dyDescent="0.25">
      <c r="B24">
        <f t="shared" si="1"/>
        <v>41.25</v>
      </c>
      <c r="D24">
        <f t="shared" si="2"/>
        <v>0.65934581510006884</v>
      </c>
      <c r="F24">
        <f t="shared" si="3"/>
        <v>0.75183980747897738</v>
      </c>
      <c r="V24" s="39">
        <f t="shared" si="0"/>
        <v>17</v>
      </c>
      <c r="W24" s="92">
        <f>CALCOLO!$E$24/100*EQUAZIONI!V24</f>
        <v>0.14450000000000002</v>
      </c>
    </row>
    <row r="25" spans="2:23" x14ac:dyDescent="0.25">
      <c r="B25">
        <f t="shared" si="1"/>
        <v>33.75</v>
      </c>
      <c r="D25">
        <f t="shared" si="2"/>
        <v>0.55557023301960218</v>
      </c>
      <c r="F25">
        <f t="shared" si="3"/>
        <v>0.83146961230254524</v>
      </c>
      <c r="V25" s="39">
        <f t="shared" si="0"/>
        <v>18</v>
      </c>
      <c r="W25" s="92">
        <f>CALCOLO!$E$24/100*EQUAZIONI!V25</f>
        <v>0.15300000000000002</v>
      </c>
    </row>
    <row r="26" spans="2:23" x14ac:dyDescent="0.25">
      <c r="B26">
        <f t="shared" si="1"/>
        <v>26.25</v>
      </c>
      <c r="D26">
        <f t="shared" si="2"/>
        <v>0.4422886902190013</v>
      </c>
      <c r="F26">
        <f t="shared" si="3"/>
        <v>0.89687274153268826</v>
      </c>
      <c r="V26" s="39">
        <f t="shared" si="0"/>
        <v>19</v>
      </c>
      <c r="W26" s="92">
        <f>CALCOLO!$E$24/100*EQUAZIONI!V26</f>
        <v>0.1615</v>
      </c>
    </row>
    <row r="27" spans="2:23" x14ac:dyDescent="0.25">
      <c r="B27">
        <f t="shared" si="1"/>
        <v>18.75</v>
      </c>
      <c r="D27">
        <f t="shared" si="2"/>
        <v>0.32143946530316159</v>
      </c>
      <c r="F27">
        <f t="shared" si="3"/>
        <v>0.94693012949510569</v>
      </c>
      <c r="V27" s="39">
        <f t="shared" si="0"/>
        <v>20</v>
      </c>
      <c r="W27" s="92">
        <f>CALCOLO!$E$24/100*EQUAZIONI!V27</f>
        <v>0.17</v>
      </c>
    </row>
    <row r="28" spans="2:23" x14ac:dyDescent="0.25">
      <c r="B28">
        <f t="shared" si="1"/>
        <v>11.25</v>
      </c>
      <c r="D28">
        <f t="shared" si="2"/>
        <v>0.19509032201612825</v>
      </c>
      <c r="F28">
        <f t="shared" si="3"/>
        <v>0.98078528040323043</v>
      </c>
      <c r="V28" s="39">
        <f t="shared" si="0"/>
        <v>21</v>
      </c>
      <c r="W28" s="92">
        <f>CALCOLO!$E$24/100*EQUAZIONI!V28</f>
        <v>0.17850000000000002</v>
      </c>
    </row>
    <row r="29" spans="2:23" x14ac:dyDescent="0.25">
      <c r="B29">
        <f t="shared" si="1"/>
        <v>3.75</v>
      </c>
      <c r="D29">
        <f t="shared" si="2"/>
        <v>6.5403129230143062E-2</v>
      </c>
      <c r="F29">
        <f t="shared" si="3"/>
        <v>0.99785892323860348</v>
      </c>
      <c r="V29" s="39">
        <f t="shared" si="0"/>
        <v>22</v>
      </c>
      <c r="W29" s="92">
        <f>CALCOLO!$E$24/100*EQUAZIONI!V29</f>
        <v>0.187</v>
      </c>
    </row>
    <row r="30" spans="2:23" x14ac:dyDescent="0.25">
      <c r="V30" s="39">
        <f t="shared" si="0"/>
        <v>23</v>
      </c>
      <c r="W30" s="92">
        <f>CALCOLO!$E$24/100*EQUAZIONI!V30</f>
        <v>0.19550000000000001</v>
      </c>
    </row>
    <row r="31" spans="2:23" x14ac:dyDescent="0.25">
      <c r="V31" s="39">
        <f t="shared" si="0"/>
        <v>24</v>
      </c>
      <c r="W31" s="92">
        <f>CALCOLO!$E$24/100*EQUAZIONI!V31</f>
        <v>0.20400000000000001</v>
      </c>
    </row>
    <row r="32" spans="2:23" ht="18.75" x14ac:dyDescent="0.3">
      <c r="B32" s="43" t="s">
        <v>230</v>
      </c>
      <c r="V32" s="39">
        <f t="shared" si="0"/>
        <v>25</v>
      </c>
      <c r="W32" s="92">
        <f>CALCOLO!$E$24/100*EQUAZIONI!V32</f>
        <v>0.21250000000000002</v>
      </c>
    </row>
    <row r="33" spans="2:23" x14ac:dyDescent="0.25">
      <c r="V33" s="39">
        <f t="shared" si="0"/>
        <v>26</v>
      </c>
      <c r="W33" s="92">
        <f>CALCOLO!$E$24/100*EQUAZIONI!V33</f>
        <v>0.22100000000000003</v>
      </c>
    </row>
    <row r="34" spans="2:23" x14ac:dyDescent="0.25">
      <c r="B34" s="16" t="s">
        <v>35</v>
      </c>
      <c r="C34">
        <v>0</v>
      </c>
      <c r="E34" t="s">
        <v>95</v>
      </c>
      <c r="F34">
        <v>0</v>
      </c>
      <c r="V34" s="39">
        <f t="shared" si="0"/>
        <v>27</v>
      </c>
      <c r="W34" s="92">
        <f>CALCOLO!$E$24/100*EQUAZIONI!V34</f>
        <v>0.22950000000000001</v>
      </c>
    </row>
    <row r="35" spans="2:23" x14ac:dyDescent="0.25">
      <c r="B35" s="16" t="s">
        <v>36</v>
      </c>
      <c r="C35">
        <f>$F$5*F18</f>
        <v>3.6359339161305734E-3</v>
      </c>
      <c r="E35" t="s">
        <v>96</v>
      </c>
      <c r="F35">
        <f>$F$5*D18</f>
        <v>5.5473631693521916E-2</v>
      </c>
      <c r="V35" s="39">
        <f t="shared" si="0"/>
        <v>28</v>
      </c>
      <c r="W35" s="92">
        <f>CALCOLO!$E$24/100*EQUAZIONI!V35</f>
        <v>0.23800000000000002</v>
      </c>
    </row>
    <row r="36" spans="2:23" x14ac:dyDescent="0.25">
      <c r="B36" s="16" t="s">
        <v>37</v>
      </c>
      <c r="C36">
        <f>F5*(F18+F19)</f>
        <v>1.4481523827145978E-2</v>
      </c>
      <c r="E36" t="s">
        <v>97</v>
      </c>
      <c r="F36">
        <f>$F$5*(D19+D18)</f>
        <v>0.1099980941685713</v>
      </c>
      <c r="V36" s="39">
        <f t="shared" si="0"/>
        <v>29</v>
      </c>
      <c r="W36" s="92">
        <f>CALCOLO!$E$24/100*EQUAZIONI!V36</f>
        <v>0.24650000000000002</v>
      </c>
    </row>
    <row r="37" spans="2:23" x14ac:dyDescent="0.25">
      <c r="B37" s="16" t="s">
        <v>38</v>
      </c>
      <c r="C37">
        <f>F5*(F18+F19+F20)</f>
        <v>3.2351198682703121E-2</v>
      </c>
      <c r="E37" t="s">
        <v>98</v>
      </c>
      <c r="F37">
        <f>$F$5*(D18+D19+D20)</f>
        <v>0.16264045875516311</v>
      </c>
      <c r="V37" s="39">
        <f t="shared" si="0"/>
        <v>30</v>
      </c>
      <c r="W37" s="92">
        <f>CALCOLO!$E$24/100*EQUAZIONI!V37</f>
        <v>0.255</v>
      </c>
    </row>
    <row r="38" spans="2:23" x14ac:dyDescent="0.25">
      <c r="B38" s="16" t="s">
        <v>39</v>
      </c>
      <c r="C38">
        <f>F5*(F18+F19+F20+F21)</f>
        <v>5.6939203391613562E-2</v>
      </c>
      <c r="E38" t="s">
        <v>99</v>
      </c>
      <c r="F38">
        <f>$F$5*(D18+D19+D20+D21)</f>
        <v>0.21249999999999994</v>
      </c>
      <c r="V38" s="39">
        <f t="shared" si="0"/>
        <v>31</v>
      </c>
      <c r="W38" s="92">
        <f>CALCOLO!$E$24/100*EQUAZIONI!V38</f>
        <v>0.26350000000000001</v>
      </c>
    </row>
    <row r="39" spans="2:23" x14ac:dyDescent="0.25">
      <c r="B39" s="16" t="s">
        <v>40</v>
      </c>
      <c r="C39">
        <f>F5*(F18+F19+F20+F21+F22)</f>
        <v>8.7824830376225044E-2</v>
      </c>
      <c r="E39" t="s">
        <v>100</v>
      </c>
      <c r="F39">
        <f>$F$5*(D18+D19+D20+D21+D22)</f>
        <v>0.2587236073287062</v>
      </c>
      <c r="V39" s="39">
        <f t="shared" si="0"/>
        <v>32</v>
      </c>
      <c r="W39" s="92">
        <f>CALCOLO!$E$24/100*EQUAZIONI!V39</f>
        <v>0.27200000000000002</v>
      </c>
    </row>
    <row r="40" spans="2:23" x14ac:dyDescent="0.25">
      <c r="B40" s="16" t="s">
        <v>41</v>
      </c>
      <c r="C40">
        <f>F5*(F18+F19+F20+F21+F22+F23)</f>
        <v>0.12447961799571729</v>
      </c>
      <c r="E40" t="s">
        <v>101</v>
      </c>
      <c r="F40">
        <f>F5*(D18+D19+D20+D21+D22+D23)</f>
        <v>0.30052038200428266</v>
      </c>
      <c r="V40" s="39">
        <f t="shared" si="0"/>
        <v>33</v>
      </c>
      <c r="W40" s="92">
        <f>CALCOLO!$E$24/100*EQUAZIONI!V40</f>
        <v>0.28050000000000003</v>
      </c>
    </row>
    <row r="41" spans="2:23" x14ac:dyDescent="0.25">
      <c r="B41" s="16" t="s">
        <v>78</v>
      </c>
      <c r="C41">
        <f>F5*(F18+F19+F20+F21+F22+F23+F24)</f>
        <v>0.16627639267129371</v>
      </c>
      <c r="E41" t="s">
        <v>102</v>
      </c>
      <c r="F41">
        <f>$F$5*(D18+D19+D20+D21+D22+D23+D24)</f>
        <v>0.33717516962377492</v>
      </c>
      <c r="V41" s="39">
        <f t="shared" si="0"/>
        <v>34</v>
      </c>
      <c r="W41" s="92">
        <f>CALCOLO!$E$24/100*EQUAZIONI!V41</f>
        <v>0.28900000000000003</v>
      </c>
    </row>
    <row r="42" spans="2:23" x14ac:dyDescent="0.25">
      <c r="B42" s="16" t="s">
        <v>79</v>
      </c>
      <c r="C42">
        <f>F5*(F18+F19+F20+F21+F22+F23+F24+F25)</f>
        <v>0.21249999999999997</v>
      </c>
      <c r="E42" t="s">
        <v>103</v>
      </c>
      <c r="F42">
        <f>$F$5*(D18+D19+D20+D21+D22+D23+D24+D25)</f>
        <v>0.36806079660838636</v>
      </c>
      <c r="V42" s="39">
        <f t="shared" si="0"/>
        <v>35</v>
      </c>
      <c r="W42" s="92">
        <f>CALCOLO!$E$24/100*EQUAZIONI!V42</f>
        <v>0.29750000000000004</v>
      </c>
    </row>
    <row r="43" spans="2:23" x14ac:dyDescent="0.25">
      <c r="B43" s="16" t="s">
        <v>80</v>
      </c>
      <c r="C43">
        <f>F5*(F18+F19+F20+F21+F22+F23+F24+F25+F26)</f>
        <v>0.26235954124483685</v>
      </c>
      <c r="E43" t="s">
        <v>104</v>
      </c>
      <c r="F43">
        <f>$F$5*(D18+D19+D20+D21+D22+D23+D24+D25+D26)</f>
        <v>0.39264880131729685</v>
      </c>
      <c r="V43" s="39">
        <f t="shared" si="0"/>
        <v>36</v>
      </c>
      <c r="W43" s="92">
        <f>CALCOLO!$E$24/100*EQUAZIONI!V43</f>
        <v>0.30600000000000005</v>
      </c>
    </row>
    <row r="44" spans="2:23" x14ac:dyDescent="0.25">
      <c r="B44" s="16" t="s">
        <v>81</v>
      </c>
      <c r="C44">
        <f>F5*(F18+F19+F20+F21+F22+F23+F24+F25+F26+F27)</f>
        <v>0.31500190583142862</v>
      </c>
      <c r="E44" t="s">
        <v>105</v>
      </c>
      <c r="F44">
        <f>$F$5*(D18+D19+D20+D21+D22+D23+D24+D25+D26+D27)</f>
        <v>0.41051847617285397</v>
      </c>
      <c r="V44" s="39">
        <f t="shared" si="0"/>
        <v>37</v>
      </c>
      <c r="W44" s="92">
        <f>CALCOLO!$E$24/100*EQUAZIONI!V44</f>
        <v>0.3145</v>
      </c>
    </row>
    <row r="45" spans="2:23" x14ac:dyDescent="0.25">
      <c r="B45" s="16" t="s">
        <v>82</v>
      </c>
      <c r="C45">
        <f>F5*(F18+F19+F20+F21+F22+F23+F24+F25+F26+F27+F28)</f>
        <v>0.369526368306478</v>
      </c>
      <c r="E45" t="s">
        <v>106</v>
      </c>
      <c r="F45">
        <f>$F$5*(D18+D19+D20+D21+D22+D23+D24+D25+D26+D27+D28)</f>
        <v>0.42136406608386939</v>
      </c>
      <c r="V45" s="39">
        <f t="shared" si="0"/>
        <v>38</v>
      </c>
      <c r="W45" s="92">
        <f>CALCOLO!$E$24/100*EQUAZIONI!V45</f>
        <v>0.32300000000000001</v>
      </c>
    </row>
    <row r="46" spans="2:23" x14ac:dyDescent="0.25">
      <c r="B46" s="16" t="s">
        <v>83</v>
      </c>
      <c r="C46">
        <f>F5*(F18+F19+F20+F21+F22+F23+F24+F25+F26+F27+F28+F29)</f>
        <v>0.42499999999999993</v>
      </c>
      <c r="E46" t="s">
        <v>107</v>
      </c>
      <c r="F46">
        <f>$F$5*(D18+D19+D20+D21+D22+D23+D24+D25+D26+D27+D28+D29)</f>
        <v>0.42499999999999993</v>
      </c>
      <c r="V46" s="39">
        <f t="shared" si="0"/>
        <v>39</v>
      </c>
      <c r="W46" s="92">
        <f>CALCOLO!$E$24/100*EQUAZIONI!V46</f>
        <v>0.33150000000000002</v>
      </c>
    </row>
    <row r="47" spans="2:23" x14ac:dyDescent="0.25">
      <c r="B47" s="16" t="s">
        <v>84</v>
      </c>
      <c r="C47">
        <f>$C$5+$F$5*($F$29)</f>
        <v>0.48047363169352192</v>
      </c>
      <c r="E47" t="s">
        <v>108</v>
      </c>
      <c r="F47">
        <f>$C$5-$F$5*($D$29)</f>
        <v>0.42136406608386939</v>
      </c>
      <c r="V47" s="39">
        <f t="shared" si="0"/>
        <v>40</v>
      </c>
      <c r="W47" s="92">
        <f>CALCOLO!$E$24/100*EQUAZIONI!V47</f>
        <v>0.34</v>
      </c>
    </row>
    <row r="48" spans="2:23" x14ac:dyDescent="0.25">
      <c r="B48" s="16" t="s">
        <v>85</v>
      </c>
      <c r="C48">
        <f>$C$5+$F$5*($F$29+$F$28)</f>
        <v>0.53499809416857125</v>
      </c>
      <c r="E48" t="s">
        <v>109</v>
      </c>
      <c r="F48">
        <f>$C$5-$F$5*($D$29+$D$28)</f>
        <v>0.41051847617285403</v>
      </c>
      <c r="V48" s="39">
        <f t="shared" si="0"/>
        <v>41</v>
      </c>
      <c r="W48" s="92">
        <f>CALCOLO!$E$24/100*EQUAZIONI!V48</f>
        <v>0.34850000000000003</v>
      </c>
    </row>
    <row r="49" spans="2:23" x14ac:dyDescent="0.25">
      <c r="B49" s="16" t="s">
        <v>86</v>
      </c>
      <c r="C49">
        <f>$C$5+$F$5*($F$29+$F$28+$F$27)</f>
        <v>0.58764045875516313</v>
      </c>
      <c r="E49" t="s">
        <v>110</v>
      </c>
      <c r="F49">
        <f>$C$5-$F$5*($D$29+$D$28+$D$27)</f>
        <v>0.39264880131729685</v>
      </c>
      <c r="V49" s="39">
        <f t="shared" si="0"/>
        <v>42</v>
      </c>
      <c r="W49" s="92">
        <f>CALCOLO!$E$24/100*EQUAZIONI!V49</f>
        <v>0.35700000000000004</v>
      </c>
    </row>
    <row r="50" spans="2:23" x14ac:dyDescent="0.25">
      <c r="B50" s="16" t="s">
        <v>87</v>
      </c>
      <c r="C50">
        <f>$C$5+$F$5*($F$26+$F$27+$F$28+$F$29)</f>
        <v>0.63749999999999996</v>
      </c>
      <c r="E50" t="s">
        <v>111</v>
      </c>
      <c r="F50">
        <f>$C$5-$F$5*($D$26+$D$27+$D$28+$D$29)</f>
        <v>0.36806079660838642</v>
      </c>
      <c r="V50" s="39">
        <f t="shared" si="0"/>
        <v>43</v>
      </c>
      <c r="W50" s="92">
        <f>CALCOLO!$E$24/100*EQUAZIONI!V50</f>
        <v>0.36550000000000005</v>
      </c>
    </row>
    <row r="51" spans="2:23" x14ac:dyDescent="0.25">
      <c r="B51" s="16" t="s">
        <v>88</v>
      </c>
      <c r="C51">
        <f>$C$5+$F$5*($F$25+$F$26+$F$27+$F$28+$F$29)</f>
        <v>0.68372360732870618</v>
      </c>
      <c r="E51" t="s">
        <v>112</v>
      </c>
      <c r="F51">
        <f>$C$5-$F$5*($D$25+$D$26+$D$27+$D$28+$D$29)</f>
        <v>0.33717516962377497</v>
      </c>
      <c r="V51" s="39">
        <f t="shared" si="0"/>
        <v>44</v>
      </c>
      <c r="W51" s="92">
        <f>CALCOLO!$E$24/100*EQUAZIONI!V51</f>
        <v>0.374</v>
      </c>
    </row>
    <row r="52" spans="2:23" x14ac:dyDescent="0.25">
      <c r="B52" s="16" t="s">
        <v>89</v>
      </c>
      <c r="C52">
        <f>$C$5+$F$5*($F$24+$F$25+$F$26+$F$27+$F$28+$F$29)</f>
        <v>0.72552038200428259</v>
      </c>
      <c r="E52" t="s">
        <v>113</v>
      </c>
      <c r="F52">
        <f>$C$5-$F$5*($D$24+$D$25+$D$26+$D$27+$D$28+$D$29)</f>
        <v>0.30052038200428272</v>
      </c>
      <c r="V52" s="39">
        <f t="shared" si="0"/>
        <v>45</v>
      </c>
      <c r="W52" s="92">
        <f>CALCOLO!$E$24/100*EQUAZIONI!V52</f>
        <v>0.38250000000000001</v>
      </c>
    </row>
    <row r="53" spans="2:23" x14ac:dyDescent="0.25">
      <c r="B53" s="16" t="s">
        <v>90</v>
      </c>
      <c r="C53">
        <f>$C$5+$F$5*($F$23+$F$24+$F$25+$F$26+$F$27+$F$28+$F$29)</f>
        <v>0.76217516962377485</v>
      </c>
      <c r="E53" t="s">
        <v>114</v>
      </c>
      <c r="F53">
        <f>$C$5-$F$5*($D$23+$D$24+$D$25+$D$26+$D$27+$D$28+$D$29)</f>
        <v>0.25872360732870631</v>
      </c>
      <c r="V53" s="39">
        <f t="shared" si="0"/>
        <v>46</v>
      </c>
      <c r="W53" s="92">
        <f>CALCOLO!$E$24/100*EQUAZIONI!V53</f>
        <v>0.39100000000000001</v>
      </c>
    </row>
    <row r="54" spans="2:23" x14ac:dyDescent="0.25">
      <c r="B54" s="16" t="s">
        <v>91</v>
      </c>
      <c r="C54">
        <f>$C$5+$F$5*($F$22+$F$23+$F$24+$F$25+$F$26+$F$27+$F$28+$F$29)</f>
        <v>0.79306079660838635</v>
      </c>
      <c r="E54" t="s">
        <v>115</v>
      </c>
      <c r="F54">
        <f>$C$5-$F$5*($D$22+$D$23+$D$24+$D$25+$D$26+$D$27+$D$28+$D$29)</f>
        <v>0.21250000000000002</v>
      </c>
      <c r="V54" s="39">
        <f t="shared" si="0"/>
        <v>47</v>
      </c>
      <c r="W54" s="92">
        <f>CALCOLO!$E$24/100*EQUAZIONI!V54</f>
        <v>0.39950000000000002</v>
      </c>
    </row>
    <row r="55" spans="2:23" x14ac:dyDescent="0.25">
      <c r="B55" s="16" t="s">
        <v>93</v>
      </c>
      <c r="C55">
        <f>$C$5+$F$5*($F$21+$F$22+$F$23+$F$24+$F$25+$F$26+$F$27+$F$28+$F$29)</f>
        <v>0.81764880131729678</v>
      </c>
      <c r="E55" t="s">
        <v>116</v>
      </c>
      <c r="F55">
        <f>$C$5-$F$5*($D$21+$D$22+$D$23+$D$24+$D$25+$D$26+$D$27+$D$28+$D$29)</f>
        <v>0.16264045875516325</v>
      </c>
      <c r="V55" s="39">
        <f t="shared" si="0"/>
        <v>48</v>
      </c>
      <c r="W55" s="92">
        <f>CALCOLO!$E$24/100*EQUAZIONI!V55</f>
        <v>0.40800000000000003</v>
      </c>
    </row>
    <row r="56" spans="2:23" x14ac:dyDescent="0.25">
      <c r="B56" s="16" t="s">
        <v>94</v>
      </c>
      <c r="C56">
        <f>$C$5+$F$5*($F$20+$F$21+$F$22+$F$23+$F$24+$F$25+$F$26+$F$27+$F$28+$F$29)</f>
        <v>0.83551847617285391</v>
      </c>
      <c r="E56" t="s">
        <v>117</v>
      </c>
      <c r="F56">
        <f>$C$5-$F$5*($D$20+$D$21+$D$22+$D$23+$D$24+$D$25+$D$26+$D$27+$D$28+$D$29)</f>
        <v>0.10999809416857143</v>
      </c>
      <c r="V56" s="39">
        <f t="shared" si="0"/>
        <v>49</v>
      </c>
      <c r="W56" s="92">
        <f>CALCOLO!$E$24/100*EQUAZIONI!V56</f>
        <v>0.41650000000000004</v>
      </c>
    </row>
    <row r="57" spans="2:23" x14ac:dyDescent="0.25">
      <c r="B57" s="16" t="s">
        <v>119</v>
      </c>
      <c r="C57">
        <f>$C$5+$F$5*($F$19+$F$20+$F$21+$F$22+$F$23+$F$24+$F$25+$F$26+$F$27+$F$28+$F$29)</f>
        <v>0.84636406608386938</v>
      </c>
      <c r="E57" t="s">
        <v>118</v>
      </c>
      <c r="F57">
        <f>$C$5-$F$5*($D$19+$D$20+$D$21+$D$22+$D$23+$D$24+$D$25+$D$26+$D$27+$D$28+$D$29)</f>
        <v>5.5473631693522041E-2</v>
      </c>
      <c r="V57" s="39">
        <f t="shared" si="0"/>
        <v>50</v>
      </c>
      <c r="W57" s="92">
        <f>CALCOLO!$E$24/100*EQUAZIONI!V57</f>
        <v>0.42500000000000004</v>
      </c>
    </row>
    <row r="58" spans="2:23" x14ac:dyDescent="0.25">
      <c r="B58" s="16" t="s">
        <v>92</v>
      </c>
      <c r="C58">
        <f>$C$5+$F$5*($F$18+$F$19+$F$20+$F$21+$F$22+$F$23+$F$24+$F$25+$F$26+$F$27+$F$28+$F$29)</f>
        <v>0.84999999999999987</v>
      </c>
      <c r="E58" t="s">
        <v>120</v>
      </c>
      <c r="F58">
        <f>$C$5-$F$5*($D$18+$D$19+$D$20+$D$21+$D$22+$D$23+$D$24+$D$25+$D$26+$D$27+$D$28+$D$29)</f>
        <v>0</v>
      </c>
      <c r="V58" s="39">
        <f t="shared" si="0"/>
        <v>51</v>
      </c>
      <c r="W58" s="92">
        <f>CALCOLO!$E$24/100*EQUAZIONI!V58</f>
        <v>0.43350000000000005</v>
      </c>
    </row>
    <row r="59" spans="2:23" x14ac:dyDescent="0.25">
      <c r="V59" s="39">
        <f t="shared" si="0"/>
        <v>52</v>
      </c>
      <c r="W59" s="92">
        <f>CALCOLO!$E$24/100*EQUAZIONI!V59</f>
        <v>0.44200000000000006</v>
      </c>
    </row>
    <row r="60" spans="2:23" x14ac:dyDescent="0.25">
      <c r="V60" s="39">
        <f t="shared" si="0"/>
        <v>53</v>
      </c>
      <c r="W60" s="92">
        <f>CALCOLO!$E$24/100*EQUAZIONI!V60</f>
        <v>0.45050000000000001</v>
      </c>
    </row>
    <row r="61" spans="2:23" ht="18.75" x14ac:dyDescent="0.3">
      <c r="B61" s="43" t="s">
        <v>231</v>
      </c>
      <c r="V61" s="39">
        <f t="shared" si="0"/>
        <v>54</v>
      </c>
      <c r="W61" s="92">
        <f>CALCOLO!$E$24/100*EQUAZIONI!V61</f>
        <v>0.45900000000000002</v>
      </c>
    </row>
    <row r="62" spans="2:23" x14ac:dyDescent="0.25">
      <c r="J62" s="44" t="s">
        <v>221</v>
      </c>
      <c r="L62" s="44" t="s">
        <v>223</v>
      </c>
      <c r="N62" s="44" t="s">
        <v>221</v>
      </c>
      <c r="V62" s="39">
        <f t="shared" si="0"/>
        <v>55</v>
      </c>
      <c r="W62" s="92">
        <f>CALCOLO!$E$24/100*EQUAZIONI!V62</f>
        <v>0.46750000000000003</v>
      </c>
    </row>
    <row r="63" spans="2:23" x14ac:dyDescent="0.25">
      <c r="J63" s="44" t="s">
        <v>222</v>
      </c>
      <c r="L63" s="44" t="s">
        <v>224</v>
      </c>
      <c r="N63" s="44" t="s">
        <v>225</v>
      </c>
      <c r="V63" s="39">
        <f t="shared" si="0"/>
        <v>56</v>
      </c>
      <c r="W63" s="92">
        <f>CALCOLO!$E$24/100*EQUAZIONI!V63</f>
        <v>0.47600000000000003</v>
      </c>
    </row>
    <row r="64" spans="2:23" x14ac:dyDescent="0.25">
      <c r="J64" s="45"/>
      <c r="L64" s="45"/>
      <c r="N64" s="45"/>
      <c r="V64" s="39">
        <f t="shared" si="0"/>
        <v>57</v>
      </c>
      <c r="W64" s="92">
        <f>CALCOLO!$E$24/100*EQUAZIONI!V64</f>
        <v>0.48450000000000004</v>
      </c>
    </row>
    <row r="65" spans="1:23" x14ac:dyDescent="0.25">
      <c r="A65" s="53" t="s">
        <v>125</v>
      </c>
      <c r="B65" s="48">
        <f>C34</f>
        <v>0</v>
      </c>
      <c r="C65" s="48">
        <v>1</v>
      </c>
      <c r="D65" s="53" t="s">
        <v>95</v>
      </c>
      <c r="E65" s="48">
        <f>F34</f>
        <v>0</v>
      </c>
      <c r="F65" s="48"/>
      <c r="G65" s="53" t="s">
        <v>121</v>
      </c>
      <c r="H65" s="48">
        <f t="array" ref="H65:H66">MMULT(MINVERSE(B65:C66),E65:E66)</f>
        <v>15.257051688265545</v>
      </c>
      <c r="I65" s="49"/>
      <c r="J65" s="50">
        <f>(2/3)*H65*B66^(3/2)+2*H66*B66^(1/2)-(2/3)*H65*B65^(3/2)-2*H66*B65^(1/2)</f>
        <v>2.2299921298893802E-3</v>
      </c>
      <c r="K65" s="49"/>
      <c r="L65" s="50">
        <f>(1/2)*H65*B66^(2)+H66*B66-(1/2)*H65*B65^(2)-H66*B65</f>
        <v>1.0084922946270612E-4</v>
      </c>
      <c r="M65" s="49"/>
      <c r="N65" s="50">
        <f>(1/3)*H65^2*B66^3*PI()+H65*H66*B66^2*PI()+H66^2*B66*PI()-(1/3)*H65^2*B65^3*PI()-H65*H66*B65^2*PI()-H66^2*B65*PI()</f>
        <v>1.1717036876363127E-5</v>
      </c>
      <c r="O65" s="49"/>
      <c r="P65" s="49"/>
      <c r="Q65" s="49"/>
      <c r="R65" s="49"/>
      <c r="S65" s="49"/>
      <c r="V65" s="39">
        <f t="shared" si="0"/>
        <v>58</v>
      </c>
      <c r="W65" s="92">
        <f>CALCOLO!$E$24/100*EQUAZIONI!V65</f>
        <v>0.49300000000000005</v>
      </c>
    </row>
    <row r="66" spans="1:23" x14ac:dyDescent="0.25">
      <c r="A66" s="54" t="s">
        <v>126</v>
      </c>
      <c r="B66" s="51">
        <f>C35</f>
        <v>3.6359339161305734E-3</v>
      </c>
      <c r="C66" s="51">
        <v>1</v>
      </c>
      <c r="D66" s="54" t="s">
        <v>96</v>
      </c>
      <c r="E66" s="51">
        <f>F35</f>
        <v>5.5473631693521916E-2</v>
      </c>
      <c r="F66" s="51"/>
      <c r="G66" s="54" t="s">
        <v>122</v>
      </c>
      <c r="H66" s="51">
        <v>0</v>
      </c>
      <c r="I66" s="49"/>
      <c r="J66" s="50"/>
      <c r="K66" s="49"/>
      <c r="L66" s="50"/>
      <c r="M66" s="49"/>
      <c r="N66" s="50"/>
      <c r="O66" s="49"/>
      <c r="P66" s="49"/>
      <c r="Q66" s="49"/>
      <c r="R66" s="49"/>
      <c r="S66" s="49"/>
      <c r="V66" s="39">
        <f t="shared" si="0"/>
        <v>59</v>
      </c>
      <c r="W66" s="92">
        <f>CALCOLO!$E$24/100*EQUAZIONI!V66</f>
        <v>0.50150000000000006</v>
      </c>
    </row>
    <row r="67" spans="1:23" x14ac:dyDescent="0.25">
      <c r="A67" s="55" t="s">
        <v>126</v>
      </c>
      <c r="B67" s="52">
        <f>C35</f>
        <v>3.6359339161305734E-3</v>
      </c>
      <c r="C67" s="52">
        <v>1</v>
      </c>
      <c r="D67" s="55" t="s">
        <v>96</v>
      </c>
      <c r="E67" s="52">
        <f>F35</f>
        <v>5.5473631693521916E-2</v>
      </c>
      <c r="F67" s="52"/>
      <c r="G67" s="55" t="s">
        <v>123</v>
      </c>
      <c r="H67" s="52">
        <f t="array" ref="H67:H68">MMULT(MINVERSE(B67:C68),E67:E68)</f>
        <v>5.0273394921258454</v>
      </c>
      <c r="I67" s="49"/>
      <c r="J67" s="50">
        <f>(2/3)*H67*B68^(3/2)+2*H68*B68^(1/2)-(2/3)*H67*B67^(3/2)-2*H68*B67^(1/2)</f>
        <v>9.572302855452075E-3</v>
      </c>
      <c r="K67" s="49"/>
      <c r="L67" s="50">
        <f>(1/2)*H67*B68^(2)+H68*B68-(1/2)*H67*B67^(2)-H68*B67</f>
        <v>8.9731924028411242E-4</v>
      </c>
      <c r="M67" s="49"/>
      <c r="N67" s="50">
        <f>(1/3)*H67^2*B68^3*PI()+H67*H68*B68^2*PI()+H68^2*B68*PI()-(1/3)*H67^2*B67^3*PI()-H67*H68*B67^2*PI()-H68^2*B67*PI()</f>
        <v>2.4167455960713829E-4</v>
      </c>
      <c r="O67" s="49"/>
      <c r="P67" s="49"/>
      <c r="Q67" s="49"/>
      <c r="R67" s="49"/>
      <c r="S67" s="49"/>
      <c r="V67" s="39">
        <f t="shared" si="0"/>
        <v>60</v>
      </c>
      <c r="W67" s="92">
        <f>CALCOLO!$E$24/100*EQUAZIONI!V67</f>
        <v>0.51</v>
      </c>
    </row>
    <row r="68" spans="1:23" x14ac:dyDescent="0.25">
      <c r="A68" s="54" t="s">
        <v>127</v>
      </c>
      <c r="B68" s="51">
        <f>C36</f>
        <v>1.4481523827145978E-2</v>
      </c>
      <c r="C68" s="51">
        <v>1</v>
      </c>
      <c r="D68" s="54" t="s">
        <v>97</v>
      </c>
      <c r="E68" s="51">
        <f>F36</f>
        <v>0.1099980941685713</v>
      </c>
      <c r="F68" s="51"/>
      <c r="G68" s="54" t="s">
        <v>124</v>
      </c>
      <c r="H68" s="51">
        <v>3.71945575261989E-2</v>
      </c>
      <c r="I68" s="49"/>
      <c r="J68" s="50"/>
      <c r="K68" s="49"/>
      <c r="L68" s="50"/>
      <c r="M68" s="49"/>
      <c r="N68" s="50"/>
      <c r="O68" s="49"/>
      <c r="P68" s="49"/>
      <c r="Q68" s="49"/>
      <c r="R68" s="49"/>
      <c r="S68" s="49"/>
      <c r="V68" s="39">
        <f t="shared" si="0"/>
        <v>61</v>
      </c>
      <c r="W68" s="92">
        <f>CALCOLO!$E$24/100*EQUAZIONI!V68</f>
        <v>0.51850000000000007</v>
      </c>
    </row>
    <row r="69" spans="1:23" x14ac:dyDescent="0.25">
      <c r="A69" s="55" t="s">
        <v>127</v>
      </c>
      <c r="B69" s="52">
        <f>C36</f>
        <v>1.4481523827145978E-2</v>
      </c>
      <c r="C69" s="52">
        <v>1</v>
      </c>
      <c r="D69" s="55" t="s">
        <v>97</v>
      </c>
      <c r="E69" s="52">
        <f>F36</f>
        <v>0.1099980941685713</v>
      </c>
      <c r="F69" s="52"/>
      <c r="G69" s="55" t="s">
        <v>130</v>
      </c>
      <c r="H69" s="52">
        <f t="array" ref="H69:H70">MMULT(MINVERSE(B69:C70),E69:E70)</f>
        <v>2.9459050045457884</v>
      </c>
      <c r="I69" s="49"/>
      <c r="J69" s="50">
        <f>(2/3)*H69*B70^(3/2)+2*H70*B70^(1/2)-(2/3)*H69*B69^(3/2)-2*H70*B69^(1/2)</f>
        <v>1.6021751325497619E-2</v>
      </c>
      <c r="K69" s="49"/>
      <c r="L69" s="50">
        <f>(1/2)*H69*B70^(2)+H70*B70-(1/2)*H69*B69^(2)-H70*B69</f>
        <v>2.435981146918371E-3</v>
      </c>
      <c r="M69" s="49"/>
      <c r="N69" s="50">
        <f>(1/3)*H69^2*B70^3*PI()+H69*H70*B70^2*PI()+H70^2*B70*PI()-(1/3)*H69^2*B69^3*PI()-H69*H70*B69^2*PI()-H70^2*B69*PI()</f>
        <v>1.0561969113047523E-3</v>
      </c>
      <c r="O69" s="49"/>
      <c r="P69" s="49"/>
      <c r="Q69" s="49"/>
      <c r="R69" s="49"/>
      <c r="S69" s="49"/>
      <c r="V69" s="39">
        <f t="shared" si="0"/>
        <v>62</v>
      </c>
      <c r="W69" s="92">
        <f>CALCOLO!$E$24/100*EQUAZIONI!V69</f>
        <v>0.52700000000000002</v>
      </c>
    </row>
    <row r="70" spans="1:23" x14ac:dyDescent="0.25">
      <c r="A70" s="54" t="s">
        <v>128</v>
      </c>
      <c r="B70" s="51">
        <f>C37</f>
        <v>3.2351198682703121E-2</v>
      </c>
      <c r="C70" s="51">
        <v>1</v>
      </c>
      <c r="D70" s="54" t="s">
        <v>98</v>
      </c>
      <c r="E70" s="51">
        <f>F37</f>
        <v>0.16264045875516311</v>
      </c>
      <c r="F70" s="51"/>
      <c r="G70" s="54" t="s">
        <v>131</v>
      </c>
      <c r="H70" s="51">
        <v>6.7336900652732901E-2</v>
      </c>
      <c r="I70" s="49"/>
      <c r="J70" s="50"/>
      <c r="K70" s="49"/>
      <c r="L70" s="50"/>
      <c r="M70" s="49"/>
      <c r="N70" s="50"/>
      <c r="O70" s="49"/>
      <c r="P70" s="49"/>
      <c r="Q70" s="49"/>
      <c r="R70" s="49"/>
      <c r="S70" s="49"/>
      <c r="V70" s="39">
        <f t="shared" si="0"/>
        <v>63</v>
      </c>
      <c r="W70" s="92">
        <f>CALCOLO!$E$24/100*EQUAZIONI!V70</f>
        <v>0.53550000000000009</v>
      </c>
    </row>
    <row r="71" spans="1:23" x14ac:dyDescent="0.25">
      <c r="A71" s="55" t="s">
        <v>128</v>
      </c>
      <c r="B71" s="52">
        <f>C37</f>
        <v>3.2351198682703121E-2</v>
      </c>
      <c r="C71" s="52">
        <v>1</v>
      </c>
      <c r="D71" s="55" t="s">
        <v>98</v>
      </c>
      <c r="E71" s="49">
        <f>F37</f>
        <v>0.16264045875516311</v>
      </c>
      <c r="F71" s="52"/>
      <c r="G71" s="55" t="s">
        <v>152</v>
      </c>
      <c r="H71" s="52">
        <f t="array" ref="H71:H72">MMULT(MINVERSE(B71:C72),E71:E72)</f>
        <v>2.027799401989224</v>
      </c>
      <c r="I71" s="49"/>
      <c r="J71" s="50">
        <f>(2/3)*H71*B72^(3/2)+2*H72*B72^(1/2)-(2/3)*H71*B71^(3/2)-2*H72*B71^(1/2)</f>
        <v>2.190426988910419E-2</v>
      </c>
      <c r="K71" s="49"/>
      <c r="L71" s="50">
        <f>(1/2)*H71*B72^(2)+H72*B72-(1/2)*H71*B71^(2)-H72*B71</f>
        <v>4.6119776831873866E-3</v>
      </c>
      <c r="M71" s="49"/>
      <c r="N71" s="50">
        <f>(1/3)*H71^2*B72^3*PI()+H71*H72*B72^2*PI()+H72^2*B72*PI()-(1/3)*H71^2*B71^3*PI()-H71*H72*B71^2*PI()-H72^2*B71*PI()</f>
        <v>2.7336991752054175E-3</v>
      </c>
      <c r="O71" s="49"/>
      <c r="P71" s="49"/>
      <c r="Q71" s="49"/>
      <c r="R71" s="49"/>
      <c r="S71" s="49"/>
      <c r="V71" s="39">
        <f t="shared" si="0"/>
        <v>64</v>
      </c>
      <c r="W71" s="92">
        <f>CALCOLO!$E$24/100*EQUAZIONI!V71</f>
        <v>0.54400000000000004</v>
      </c>
    </row>
    <row r="72" spans="1:23" x14ac:dyDescent="0.25">
      <c r="A72" s="54" t="s">
        <v>129</v>
      </c>
      <c r="B72" s="51">
        <f>C38</f>
        <v>5.6939203391613562E-2</v>
      </c>
      <c r="C72" s="51">
        <v>1</v>
      </c>
      <c r="D72" s="54" t="s">
        <v>99</v>
      </c>
      <c r="E72" s="51">
        <f>F38</f>
        <v>0.21249999999999994</v>
      </c>
      <c r="F72" s="51"/>
      <c r="G72" s="54" t="s">
        <v>153</v>
      </c>
      <c r="H72" s="51">
        <v>9.7038717412743114E-2</v>
      </c>
      <c r="I72" s="49"/>
      <c r="J72" s="50"/>
      <c r="K72" s="49"/>
      <c r="L72" s="50"/>
      <c r="M72" s="49"/>
      <c r="N72" s="50"/>
      <c r="O72" s="49"/>
      <c r="P72" s="49"/>
      <c r="Q72" s="49"/>
      <c r="R72" s="49"/>
      <c r="S72" s="49"/>
      <c r="V72" s="39">
        <f t="shared" si="0"/>
        <v>65</v>
      </c>
      <c r="W72" s="92">
        <f>CALCOLO!$E$24/100*EQUAZIONI!V72</f>
        <v>0.55249999999999999</v>
      </c>
    </row>
    <row r="73" spans="1:23" x14ac:dyDescent="0.25">
      <c r="A73" s="55" t="s">
        <v>129</v>
      </c>
      <c r="B73" s="52">
        <f>C38</f>
        <v>5.6939203391613562E-2</v>
      </c>
      <c r="C73" s="52">
        <v>1</v>
      </c>
      <c r="D73" s="55" t="s">
        <v>99</v>
      </c>
      <c r="E73" s="52">
        <f>F38</f>
        <v>0.21249999999999994</v>
      </c>
      <c r="F73" s="52"/>
      <c r="G73" s="55" t="s">
        <v>154</v>
      </c>
      <c r="H73" s="52">
        <f t="array" ref="H73:H74">MMULT(MINVERSE(B73:C74),E73:E74)</f>
        <v>1.4966057626654878</v>
      </c>
      <c r="I73" s="49"/>
      <c r="J73" s="50">
        <f>(2/3)*H73*B74^(3/2)+2*H74*B74^(1/2)-(2/3)*H73*B73^(3/2)-2*H74*B73^(1/2)</f>
        <v>2.7109236825495348E-2</v>
      </c>
      <c r="K73" s="49"/>
      <c r="L73" s="50">
        <f>(1/2)*H73*B74^(2)+H74*B74-(1/2)*H73*B73^(2)-H74*B73</f>
        <v>7.2770182811487246E-3</v>
      </c>
      <c r="M73" s="49"/>
      <c r="N73" s="50">
        <f>(1/3)*H73^2*B74^3*PI()+H73*H74*B74^2*PI()+H74^2*B74*PI()-(1/3)*H73^2*B73^3*PI()-H73*H74*B73^2*PI()-H74^2*B73*PI()</f>
        <v>5.4036984692079687E-3</v>
      </c>
      <c r="O73" s="49"/>
      <c r="P73" s="49"/>
      <c r="Q73" s="49"/>
      <c r="R73" s="49"/>
      <c r="S73" s="49"/>
      <c r="V73" s="39">
        <f t="shared" ref="V73:V107" si="4">V72+1</f>
        <v>66</v>
      </c>
      <c r="W73" s="92">
        <f>CALCOLO!$E$24/100*EQUAZIONI!V73</f>
        <v>0.56100000000000005</v>
      </c>
    </row>
    <row r="74" spans="1:23" x14ac:dyDescent="0.25">
      <c r="A74" s="54" t="s">
        <v>132</v>
      </c>
      <c r="B74" s="51">
        <f>C39</f>
        <v>8.7824830376225044E-2</v>
      </c>
      <c r="C74" s="51">
        <v>1</v>
      </c>
      <c r="D74" s="54" t="s">
        <v>100</v>
      </c>
      <c r="E74" s="51">
        <f>F39</f>
        <v>0.2587236073287062</v>
      </c>
      <c r="F74" s="51"/>
      <c r="G74" s="54" t="s">
        <v>155</v>
      </c>
      <c r="H74" s="51">
        <v>0.12728446008252875</v>
      </c>
      <c r="I74" s="49"/>
      <c r="J74" s="50"/>
      <c r="K74" s="49"/>
      <c r="L74" s="50"/>
      <c r="M74" s="49"/>
      <c r="N74" s="50"/>
      <c r="O74" s="49"/>
      <c r="P74" s="49"/>
      <c r="Q74" s="49"/>
      <c r="R74" s="49"/>
      <c r="S74" s="49"/>
      <c r="V74" s="39">
        <f t="shared" si="4"/>
        <v>67</v>
      </c>
      <c r="W74" s="92">
        <f>CALCOLO!$E$24/100*EQUAZIONI!V74</f>
        <v>0.56950000000000001</v>
      </c>
    </row>
    <row r="75" spans="1:23" x14ac:dyDescent="0.25">
      <c r="A75" s="55" t="s">
        <v>132</v>
      </c>
      <c r="B75" s="52">
        <f>C39</f>
        <v>8.7824830376225044E-2</v>
      </c>
      <c r="C75" s="52">
        <v>1</v>
      </c>
      <c r="D75" s="55" t="s">
        <v>100</v>
      </c>
      <c r="E75" s="52">
        <f>F39</f>
        <v>0.2587236073287062</v>
      </c>
      <c r="F75" s="52"/>
      <c r="G75" s="55" t="s">
        <v>156</v>
      </c>
      <c r="H75" s="52">
        <f t="array" ref="H75:H76">MMULT(MINVERSE(B75:C76),E75:E76)</f>
        <v>1.1402814581675509</v>
      </c>
      <c r="I75" s="49"/>
      <c r="J75" s="50">
        <f>(2/3)*H75*B76^(3/2)+2*H76*B76^(1/2)-(2/3)*H75*B75^(3/2)-2*H76*B75^(1/2)</f>
        <v>3.1508811110725995E-2</v>
      </c>
      <c r="K75" s="49"/>
      <c r="L75" s="50">
        <f>(1/2)*H75*B76^(2)+H76*B76-(1/2)*H75*B75^(2)-H76*B75</f>
        <v>1.0249484828239151E-2</v>
      </c>
      <c r="M75" s="49"/>
      <c r="N75" s="50">
        <f>(1/3)*H75^2*B76^3*PI()+H75*H76*B76^2*PI()+H76^2*B76*PI()-(1/3)*H75^2*B75^3*PI()-H75*H76*B75^2*PI()-H76^2*B75*PI()</f>
        <v>9.0205103651283727E-3</v>
      </c>
      <c r="O75" s="49"/>
      <c r="P75" s="49"/>
      <c r="Q75" s="49"/>
      <c r="R75" s="49"/>
      <c r="S75" s="49"/>
      <c r="V75" s="39">
        <f t="shared" si="4"/>
        <v>68</v>
      </c>
      <c r="W75" s="92">
        <f>CALCOLO!$E$24/100*EQUAZIONI!V75</f>
        <v>0.57800000000000007</v>
      </c>
    </row>
    <row r="76" spans="1:23" x14ac:dyDescent="0.25">
      <c r="A76" s="54" t="s">
        <v>133</v>
      </c>
      <c r="B76" s="51">
        <f>C40</f>
        <v>0.12447961799571729</v>
      </c>
      <c r="C76" s="51">
        <v>1</v>
      </c>
      <c r="D76" s="54" t="s">
        <v>101</v>
      </c>
      <c r="E76" s="51">
        <f>F40</f>
        <v>0.30052038200428266</v>
      </c>
      <c r="F76" s="51"/>
      <c r="G76" s="54" t="s">
        <v>157</v>
      </c>
      <c r="H76" s="51">
        <v>0.15857858168398653</v>
      </c>
      <c r="I76" s="49"/>
      <c r="J76" s="50"/>
      <c r="K76" s="49"/>
      <c r="L76" s="50"/>
      <c r="M76" s="49"/>
      <c r="N76" s="50"/>
      <c r="O76" s="49"/>
      <c r="P76" s="49"/>
      <c r="Q76" s="49"/>
      <c r="R76" s="49"/>
      <c r="S76" s="49"/>
      <c r="V76" s="39">
        <f t="shared" si="4"/>
        <v>69</v>
      </c>
      <c r="W76" s="92">
        <f>CALCOLO!$E$24/100*EQUAZIONI!V76</f>
        <v>0.58650000000000002</v>
      </c>
    </row>
    <row r="77" spans="1:23" x14ac:dyDescent="0.25">
      <c r="A77" s="55" t="s">
        <v>133</v>
      </c>
      <c r="B77" s="52">
        <f>C40</f>
        <v>0.12447961799571729</v>
      </c>
      <c r="C77" s="52">
        <v>1</v>
      </c>
      <c r="D77" s="55" t="s">
        <v>101</v>
      </c>
      <c r="E77" s="52">
        <f>F40</f>
        <v>0.30052038200428266</v>
      </c>
      <c r="F77" s="52"/>
      <c r="G77" s="55" t="s">
        <v>158</v>
      </c>
      <c r="H77" s="52">
        <f t="array" ref="H77:H78">MMULT(MINVERSE(B77:C78),E77:E78)</f>
        <v>0.87697646299275789</v>
      </c>
      <c r="I77" s="49"/>
      <c r="J77" s="50">
        <f>(2/3)*H77*B78^(3/2)+2*H78*B78^(1/2)-(2/3)*H77*B77^(3/2)-2*H78*B77^(1/2)</f>
        <v>3.4994983705620736E-2</v>
      </c>
      <c r="K77" s="49"/>
      <c r="L77" s="50">
        <f>(1/2)*H77*B78^(2)+H78*B78-(1/2)*H77*B77^(2)-H78*B77</f>
        <v>1.3326808641507662E-2</v>
      </c>
      <c r="M77" s="49"/>
      <c r="N77" s="50">
        <f>(1/3)*H77^2*B78^3*PI()+H77*H78*B78^2*PI()+H78^2*B78*PI()-(1/3)*H77^2*B77^3*PI()-H77*H78*B77^2*PI()-H78^2*B77*PI()</f>
        <v>1.3364030561932045E-2</v>
      </c>
      <c r="O77" s="49"/>
      <c r="P77" s="49"/>
      <c r="Q77" s="49"/>
      <c r="R77" s="49"/>
      <c r="S77" s="49"/>
      <c r="V77" s="39">
        <f t="shared" si="4"/>
        <v>70</v>
      </c>
      <c r="W77" s="92">
        <f>CALCOLO!$E$24/100*EQUAZIONI!V77</f>
        <v>0.59500000000000008</v>
      </c>
    </row>
    <row r="78" spans="1:23" x14ac:dyDescent="0.25">
      <c r="A78" s="54" t="s">
        <v>134</v>
      </c>
      <c r="B78" s="51">
        <f>C41</f>
        <v>0.16627639267129371</v>
      </c>
      <c r="C78" s="51">
        <v>1</v>
      </c>
      <c r="D78" s="54" t="s">
        <v>102</v>
      </c>
      <c r="E78" s="51">
        <f>F41</f>
        <v>0.33717516962377492</v>
      </c>
      <c r="F78" s="51"/>
      <c r="G78" s="54" t="s">
        <v>159</v>
      </c>
      <c r="H78" s="51">
        <v>0.19135468689970891</v>
      </c>
      <c r="I78" s="49"/>
      <c r="J78" s="50"/>
      <c r="K78" s="49"/>
      <c r="L78" s="50"/>
      <c r="M78" s="49"/>
      <c r="N78" s="50"/>
      <c r="O78" s="49"/>
      <c r="P78" s="49"/>
      <c r="Q78" s="49"/>
      <c r="R78" s="49"/>
      <c r="S78" s="49"/>
      <c r="V78" s="39">
        <f t="shared" si="4"/>
        <v>71</v>
      </c>
      <c r="W78" s="92">
        <f>CALCOLO!$E$24/100*EQUAZIONI!V78</f>
        <v>0.60350000000000004</v>
      </c>
    </row>
    <row r="79" spans="1:23" x14ac:dyDescent="0.25">
      <c r="A79" s="55" t="s">
        <v>134</v>
      </c>
      <c r="B79" s="52">
        <f>C41</f>
        <v>0.16627639267129371</v>
      </c>
      <c r="C79" s="52">
        <v>1</v>
      </c>
      <c r="D79" s="55" t="s">
        <v>102</v>
      </c>
      <c r="E79" s="52">
        <f>F41</f>
        <v>0.33717516962377492</v>
      </c>
      <c r="F79" s="52"/>
      <c r="G79" s="55" t="s">
        <v>160</v>
      </c>
      <c r="H79" s="52">
        <f t="array" ref="H79:H80">MMULT(MINVERSE(B79:C80),E79:E80)</f>
        <v>0.66817863791929888</v>
      </c>
      <c r="I79" s="49"/>
      <c r="J79" s="50">
        <f>(2/3)*H79*B80^(3/2)+2*H80*B80^(1/2)-(2/3)*H79*B79^(3/2)-2*H80*B79^(1/2)</f>
        <v>3.7490080903670064E-2</v>
      </c>
      <c r="K79" s="49"/>
      <c r="L79" s="50">
        <f>(1/2)*H79*B80^(2)+H80*B80-(1/2)*H79*B79^(2)-H80*B79</f>
        <v>1.629927518859809E-2</v>
      </c>
      <c r="M79" s="49"/>
      <c r="N79" s="50">
        <f>(1/3)*H79^2*B80^3*PI()+H79*H80*B80^2*PI()+H80^2*B80*PI()-(1/3)*H79^2*B79^3*PI()-H79*H80*B79^2*PI()-H80^2*B79*PI()</f>
        <v>1.8067588438298355E-2</v>
      </c>
      <c r="O79" s="49"/>
      <c r="P79" s="49"/>
      <c r="Q79" s="49"/>
      <c r="R79" s="49"/>
      <c r="S79" s="49"/>
      <c r="V79" s="39">
        <f t="shared" si="4"/>
        <v>72</v>
      </c>
      <c r="W79" s="92">
        <f>CALCOLO!$E$24/100*EQUAZIONI!V79</f>
        <v>0.6120000000000001</v>
      </c>
    </row>
    <row r="80" spans="1:23" x14ac:dyDescent="0.25">
      <c r="A80" s="54" t="s">
        <v>135</v>
      </c>
      <c r="B80" s="51">
        <f>C42</f>
        <v>0.21249999999999997</v>
      </c>
      <c r="C80" s="51">
        <v>1</v>
      </c>
      <c r="D80" s="54" t="s">
        <v>103</v>
      </c>
      <c r="E80" s="51">
        <f>F42</f>
        <v>0.36806079660838636</v>
      </c>
      <c r="F80" s="51"/>
      <c r="G80" s="54" t="s">
        <v>161</v>
      </c>
      <c r="H80" s="51">
        <v>0.22607283605053552</v>
      </c>
      <c r="I80" s="49"/>
      <c r="J80" s="50"/>
      <c r="K80" s="49"/>
      <c r="L80" s="50"/>
      <c r="M80" s="49"/>
      <c r="N80" s="50"/>
      <c r="O80" s="49"/>
      <c r="P80" s="49"/>
      <c r="Q80" s="49"/>
      <c r="R80" s="49"/>
      <c r="S80" s="49"/>
      <c r="V80" s="39">
        <f t="shared" si="4"/>
        <v>73</v>
      </c>
      <c r="W80" s="92">
        <f>CALCOLO!$E$24/100*EQUAZIONI!V80</f>
        <v>0.62050000000000005</v>
      </c>
    </row>
    <row r="81" spans="1:23" x14ac:dyDescent="0.25">
      <c r="A81" s="55" t="s">
        <v>135</v>
      </c>
      <c r="B81" s="52">
        <f>C42</f>
        <v>0.21249999999999997</v>
      </c>
      <c r="C81" s="52">
        <v>1</v>
      </c>
      <c r="D81" s="55" t="s">
        <v>103</v>
      </c>
      <c r="E81" s="52">
        <f>F42</f>
        <v>0.36806079660838636</v>
      </c>
      <c r="F81" s="52"/>
      <c r="G81" s="55" t="s">
        <v>162</v>
      </c>
      <c r="H81" s="52">
        <f t="array" ref="H81:H82">MMULT(MINVERSE(B81:C82),E81:E82)</f>
        <v>0.49314542603130462</v>
      </c>
      <c r="I81" s="49"/>
      <c r="J81" s="50">
        <f>(2/3)*H81*B82^(3/2)+2*H82*B82^(1/2)-(2/3)*H81*B81^(3/2)-2*H82*B81^(1/2)</f>
        <v>3.8951498829513931E-2</v>
      </c>
      <c r="K81" s="49"/>
      <c r="L81" s="50">
        <f>(1/2)*H81*B82^(2)+H82*B82-(1/2)*H81*B81^(2)-H82*B81</f>
        <v>1.8964315786559424E-2</v>
      </c>
      <c r="M81" s="49"/>
      <c r="N81" s="50">
        <f>(1/3)*H81^2*B82^3*PI()+H81*H82*B82^2*PI()+H82^2*B82*PI()-(1/3)*H81^2*B81^3*PI()-H81*H82*B81^2*PI()-H82^2*B81*PI()</f>
        <v>2.2668728797931081E-2</v>
      </c>
      <c r="O81" s="49"/>
      <c r="P81" s="49"/>
      <c r="Q81" s="49"/>
      <c r="R81" s="49"/>
      <c r="S81" s="49"/>
      <c r="V81" s="39">
        <f t="shared" si="4"/>
        <v>74</v>
      </c>
      <c r="W81" s="92">
        <f>CALCOLO!$E$24/100*EQUAZIONI!V81</f>
        <v>0.629</v>
      </c>
    </row>
    <row r="82" spans="1:23" x14ac:dyDescent="0.25">
      <c r="A82" s="54" t="s">
        <v>136</v>
      </c>
      <c r="B82" s="51">
        <f>C43</f>
        <v>0.26235954124483685</v>
      </c>
      <c r="C82" s="51">
        <v>1</v>
      </c>
      <c r="D82" s="54" t="s">
        <v>104</v>
      </c>
      <c r="E82" s="51">
        <f>F43</f>
        <v>0.39264880131729685</v>
      </c>
      <c r="F82" s="51"/>
      <c r="G82" s="54" t="s">
        <v>163</v>
      </c>
      <c r="H82" s="51">
        <v>0.26326739357673401</v>
      </c>
      <c r="I82" s="49"/>
      <c r="J82" s="50"/>
      <c r="K82" s="49"/>
      <c r="L82" s="50"/>
      <c r="M82" s="49"/>
      <c r="N82" s="50"/>
      <c r="O82" s="49"/>
      <c r="P82" s="49"/>
      <c r="Q82" s="49"/>
      <c r="R82" s="49"/>
      <c r="S82" s="49"/>
      <c r="V82" s="39">
        <f t="shared" si="4"/>
        <v>75</v>
      </c>
      <c r="W82" s="92">
        <f>CALCOLO!$E$24/100*EQUAZIONI!V82</f>
        <v>0.63750000000000007</v>
      </c>
    </row>
    <row r="83" spans="1:23" x14ac:dyDescent="0.25">
      <c r="A83" s="55" t="s">
        <v>136</v>
      </c>
      <c r="B83" s="52">
        <f>C43</f>
        <v>0.26235954124483685</v>
      </c>
      <c r="C83" s="52">
        <v>1</v>
      </c>
      <c r="D83" s="55" t="s">
        <v>104</v>
      </c>
      <c r="E83" s="52">
        <f>F43</f>
        <v>0.39264880131729685</v>
      </c>
      <c r="F83" s="52"/>
      <c r="G83" s="55" t="s">
        <v>164</v>
      </c>
      <c r="H83" s="52">
        <f t="array" ref="H83:H84">MMULT(MINVERSE(B83:C84),E83:E84)</f>
        <v>0.33945425886337599</v>
      </c>
      <c r="I83" s="49"/>
      <c r="J83" s="50">
        <f>(2/3)*H83*B84^(3/2)+2*H84*B84^(1/2)-(2/3)*H83*B83^(3/2)-2*H84*B83^(1/2)</f>
        <v>3.9373865871571156E-2</v>
      </c>
      <c r="K83" s="49"/>
      <c r="L83" s="50">
        <f>(1/2)*H83*B84^(2)+H84*B84-(1/2)*H83*B83^(2)-H84*B83</f>
        <v>2.1140312322828425E-2</v>
      </c>
      <c r="M83" s="49"/>
      <c r="N83" s="50">
        <f>(1/3)*H83^2*B84^3*PI()+H83*H84*B84^2*PI()+H84^2*B84*PI()-(1/3)*H83^2*B83^3*PI()-H83*H84*B83^2*PI()-H84^2*B83*PI()</f>
        <v>2.6675276992144628E-2</v>
      </c>
      <c r="O83" s="49"/>
      <c r="P83" s="49"/>
      <c r="Q83" s="49"/>
      <c r="R83" s="49"/>
      <c r="S83" s="49"/>
      <c r="V83" s="39">
        <f t="shared" si="4"/>
        <v>76</v>
      </c>
      <c r="W83" s="92">
        <f>CALCOLO!$E$24/100*EQUAZIONI!V83</f>
        <v>0.64600000000000002</v>
      </c>
    </row>
    <row r="84" spans="1:23" x14ac:dyDescent="0.25">
      <c r="A84" s="54" t="s">
        <v>137</v>
      </c>
      <c r="B84" s="51">
        <f>C44</f>
        <v>0.31500190583142862</v>
      </c>
      <c r="C84" s="51">
        <v>1</v>
      </c>
      <c r="D84" s="54" t="s">
        <v>105</v>
      </c>
      <c r="E84" s="51">
        <f>F44</f>
        <v>0.41051847617285397</v>
      </c>
      <c r="F84" s="51"/>
      <c r="G84" s="54" t="s">
        <v>165</v>
      </c>
      <c r="H84" s="51">
        <v>0.30358973768829545</v>
      </c>
      <c r="I84" s="49"/>
      <c r="J84" s="50"/>
      <c r="K84" s="49"/>
      <c r="L84" s="50"/>
      <c r="M84" s="49"/>
      <c r="N84" s="50"/>
      <c r="O84" s="49"/>
      <c r="P84" s="49"/>
      <c r="Q84" s="49"/>
      <c r="R84" s="49"/>
      <c r="S84" s="49"/>
      <c r="V84" s="39">
        <f t="shared" si="4"/>
        <v>77</v>
      </c>
      <c r="W84" s="92">
        <f>CALCOLO!$E$24/100*EQUAZIONI!V84</f>
        <v>0.65450000000000008</v>
      </c>
    </row>
    <row r="85" spans="1:23" x14ac:dyDescent="0.25">
      <c r="A85" s="55" t="s">
        <v>137</v>
      </c>
      <c r="B85" s="52">
        <f>C44</f>
        <v>0.31500190583142862</v>
      </c>
      <c r="C85" s="52">
        <v>1</v>
      </c>
      <c r="D85" s="55" t="s">
        <v>105</v>
      </c>
      <c r="E85" s="52">
        <f>F44</f>
        <v>0.41051847617285397</v>
      </c>
      <c r="F85" s="52"/>
      <c r="G85" s="55" t="s">
        <v>166</v>
      </c>
      <c r="H85" s="52">
        <f t="array" ref="H85:H86">MMULT(MINVERSE(B85:C86),E85:E86)</f>
        <v>0.19891236737965823</v>
      </c>
      <c r="I85" s="49"/>
      <c r="J85" s="50">
        <f>(2/3)*H85*B86^(3/2)+2*H86*B86^(1/2)-(2/3)*H85*B85^(3/2)-2*H86*B85^(1/2)</f>
        <v>3.8789364479753841E-2</v>
      </c>
      <c r="K85" s="49"/>
      <c r="L85" s="50">
        <f>(1/2)*H85*B86^(2)+H86*B86-(1/2)*H85*B85^(2)-H86*B85</f>
        <v>2.2678974229462689E-2</v>
      </c>
      <c r="M85" s="49"/>
      <c r="N85" s="50">
        <f>(1/3)*H85^2*B86^3*PI()+H85*H86*B86^2*PI()+H86^2*B86*PI()-(1/3)*H85^2*B85^3*PI()-H85*H86*B85^2*PI()-H86^2*B85*PI()</f>
        <v>2.9636703853551993E-2</v>
      </c>
      <c r="O85" s="49"/>
      <c r="P85" s="49"/>
      <c r="Q85" s="49"/>
      <c r="R85" s="49"/>
      <c r="S85" s="49"/>
      <c r="V85" s="39">
        <f t="shared" si="4"/>
        <v>78</v>
      </c>
      <c r="W85" s="92">
        <f>CALCOLO!$E$24/100*EQUAZIONI!V85</f>
        <v>0.66300000000000003</v>
      </c>
    </row>
    <row r="86" spans="1:23" x14ac:dyDescent="0.25">
      <c r="A86" s="54" t="s">
        <v>138</v>
      </c>
      <c r="B86" s="51">
        <f>C45</f>
        <v>0.369526368306478</v>
      </c>
      <c r="C86" s="51">
        <v>1</v>
      </c>
      <c r="D86" s="54" t="s">
        <v>106</v>
      </c>
      <c r="E86" s="51">
        <f>F45</f>
        <v>0.42136406608386939</v>
      </c>
      <c r="F86" s="51"/>
      <c r="G86" s="54" t="s">
        <v>167</v>
      </c>
      <c r="H86" s="51">
        <v>0.34786070135482028</v>
      </c>
      <c r="I86" s="49"/>
      <c r="J86" s="50"/>
      <c r="K86" s="49"/>
      <c r="L86" s="50"/>
      <c r="M86" s="49"/>
      <c r="N86" s="50"/>
      <c r="O86" s="49"/>
      <c r="P86" s="49"/>
      <c r="Q86" s="49"/>
      <c r="R86" s="49"/>
      <c r="S86" s="49"/>
      <c r="V86" s="39">
        <f t="shared" si="4"/>
        <v>79</v>
      </c>
      <c r="W86" s="92">
        <f>CALCOLO!$E$24/100*EQUAZIONI!V86</f>
        <v>0.6715000000000001</v>
      </c>
    </row>
    <row r="87" spans="1:23" x14ac:dyDescent="0.25">
      <c r="A87" s="55" t="s">
        <v>138</v>
      </c>
      <c r="B87" s="52">
        <f>C45</f>
        <v>0.369526368306478</v>
      </c>
      <c r="C87" s="52">
        <v>1</v>
      </c>
      <c r="D87" s="55" t="s">
        <v>106</v>
      </c>
      <c r="E87" s="52">
        <f>F45</f>
        <v>0.42136406608386939</v>
      </c>
      <c r="F87" s="52"/>
      <c r="G87" s="55" t="s">
        <v>168</v>
      </c>
      <c r="H87" s="52">
        <f t="array" ref="H87:H88">MMULT(MINVERSE(B87:C88),E87:E88)</f>
        <v>6.5543462815237596E-2</v>
      </c>
      <c r="I87" s="49"/>
      <c r="J87" s="50">
        <f>(2/3)*H87*B88^(3/2)+2*H88*B88^(1/2)-(2/3)*H87*B87^(3/2)-2*H88*B87^(1/2)</f>
        <v>3.7266451772929643E-2</v>
      </c>
      <c r="K87" s="49"/>
      <c r="L87" s="50">
        <f>(1/2)*H87*B88^(2)+H88*B88-(1/2)*H87*B87^(2)-H88*B87</f>
        <v>2.347544424028411E-2</v>
      </c>
      <c r="M87" s="49"/>
      <c r="N87" s="50">
        <f>(1/3)*H87^2*B88^3*PI()+H87*H88*B88^2*PI()+H88^2*B88*PI()-(1/3)*H87^2*B87^3*PI()-H87*H88*B87^2*PI()-H88^2*B87*PI()</f>
        <v>3.1209986760989877E-2</v>
      </c>
      <c r="O87" s="49"/>
      <c r="P87" s="49"/>
      <c r="Q87" s="49"/>
      <c r="R87" s="49"/>
      <c r="S87" s="49"/>
      <c r="V87" s="39">
        <f t="shared" si="4"/>
        <v>80</v>
      </c>
      <c r="W87" s="92">
        <f>CALCOLO!$E$24/100*EQUAZIONI!V87</f>
        <v>0.68</v>
      </c>
    </row>
    <row r="88" spans="1:23" x14ac:dyDescent="0.25">
      <c r="A88" s="54" t="s">
        <v>139</v>
      </c>
      <c r="B88" s="51">
        <f>C46</f>
        <v>0.42499999999999993</v>
      </c>
      <c r="C88" s="51">
        <v>1</v>
      </c>
      <c r="D88" s="54" t="s">
        <v>107</v>
      </c>
      <c r="E88" s="51">
        <f>F46</f>
        <v>0.42499999999999993</v>
      </c>
      <c r="F88" s="51"/>
      <c r="G88" s="54" t="s">
        <v>169</v>
      </c>
      <c r="H88" s="51">
        <v>0.39714402830352391</v>
      </c>
      <c r="I88" s="49"/>
      <c r="J88" s="50"/>
      <c r="K88" s="49"/>
      <c r="L88" s="50"/>
      <c r="M88" s="49"/>
      <c r="N88" s="50"/>
      <c r="O88" s="49"/>
      <c r="P88" s="49"/>
      <c r="Q88" s="49"/>
      <c r="R88" s="49"/>
      <c r="S88" s="49"/>
      <c r="V88" s="39">
        <f t="shared" si="4"/>
        <v>81</v>
      </c>
      <c r="W88" s="92">
        <f>CALCOLO!$E$24/100*EQUAZIONI!V88</f>
        <v>0.6885</v>
      </c>
    </row>
    <row r="89" spans="1:23" x14ac:dyDescent="0.25">
      <c r="A89" s="55" t="s">
        <v>139</v>
      </c>
      <c r="B89" s="52">
        <f>C46</f>
        <v>0.42499999999999993</v>
      </c>
      <c r="C89" s="52">
        <v>1</v>
      </c>
      <c r="D89" s="55" t="s">
        <v>107</v>
      </c>
      <c r="E89" s="52">
        <f>F46</f>
        <v>0.42499999999999993</v>
      </c>
      <c r="F89" s="52"/>
      <c r="G89" s="55" t="s">
        <v>170</v>
      </c>
      <c r="H89" s="52">
        <f t="array" ref="H89:H90">MMULT(MINVERSE(B89:C90),E89:E90)</f>
        <v>-6.5543462815237596E-2</v>
      </c>
      <c r="I89" s="49"/>
      <c r="J89" s="50">
        <f>(2/3)*H89*B90^(3/2)+2*H90*B90^(1/2)-(2/3)*H89*B89^(3/2)-2*H90*B89^(1/2)</f>
        <v>3.4907120661014757E-2</v>
      </c>
      <c r="K89" s="49"/>
      <c r="L89" s="50">
        <f>(1/2)*H89*B90^(2)+H90*B90-(1/2)*H89*B89^(2)-H90*B89</f>
        <v>2.3475444240284138E-2</v>
      </c>
      <c r="M89" s="49"/>
      <c r="N89" s="50">
        <f>(1/3)*H89^2*B90^3*PI()+H89*H90*B90^2*PI()+H90^2*B90*PI()-(1/3)*H89^2*B89^3*PI()-H89*H90*B89^2*PI()-H90^2*B89*PI()</f>
        <v>3.1209986760989961E-2</v>
      </c>
      <c r="O89" s="49"/>
      <c r="P89" s="49"/>
      <c r="Q89" s="49"/>
      <c r="R89" s="49"/>
      <c r="S89" s="49"/>
      <c r="V89" s="39">
        <f t="shared" si="4"/>
        <v>82</v>
      </c>
      <c r="W89" s="92">
        <f>CALCOLO!$E$24/100*EQUAZIONI!V89</f>
        <v>0.69700000000000006</v>
      </c>
    </row>
    <row r="90" spans="1:23" x14ac:dyDescent="0.25">
      <c r="A90" s="54" t="s">
        <v>140</v>
      </c>
      <c r="B90" s="51">
        <f>C47</f>
        <v>0.48047363169352192</v>
      </c>
      <c r="C90" s="51">
        <v>1</v>
      </c>
      <c r="D90" s="54" t="s">
        <v>108</v>
      </c>
      <c r="E90" s="51">
        <f>F47</f>
        <v>0.42136406608386939</v>
      </c>
      <c r="F90" s="51"/>
      <c r="G90" s="54" t="s">
        <v>171</v>
      </c>
      <c r="H90" s="51">
        <v>0.45285597169647618</v>
      </c>
      <c r="I90" s="49"/>
      <c r="J90" s="50"/>
      <c r="K90" s="49"/>
      <c r="L90" s="50"/>
      <c r="M90" s="49"/>
      <c r="N90" s="50"/>
      <c r="O90" s="49"/>
      <c r="P90" s="49"/>
      <c r="Q90" s="49"/>
      <c r="R90" s="49"/>
      <c r="S90" s="49"/>
      <c r="V90" s="39">
        <f t="shared" si="4"/>
        <v>83</v>
      </c>
      <c r="W90" s="92">
        <f>CALCOLO!$E$24/100*EQUAZIONI!V90</f>
        <v>0.70550000000000002</v>
      </c>
    </row>
    <row r="91" spans="1:23" x14ac:dyDescent="0.25">
      <c r="A91" s="55" t="s">
        <v>140</v>
      </c>
      <c r="B91" s="52">
        <f>C47</f>
        <v>0.48047363169352192</v>
      </c>
      <c r="C91" s="52">
        <v>1</v>
      </c>
      <c r="D91" s="55" t="s">
        <v>108</v>
      </c>
      <c r="E91" s="52">
        <f>F47</f>
        <v>0.42136406608386939</v>
      </c>
      <c r="F91" s="52"/>
      <c r="G91" s="55" t="s">
        <v>172</v>
      </c>
      <c r="H91" s="52">
        <f t="array" ref="H91:H92">MMULT(MINVERSE(B91:C92),E91:E92)</f>
        <v>-0.19891236737965734</v>
      </c>
      <c r="I91" s="49"/>
      <c r="J91" s="50">
        <f>(2/3)*H91*B92^(3/2)+2*H92*B92^(1/2)-(2/3)*H91*B91^(3/2)-2*H92*B91^(1/2)</f>
        <v>3.1842845523515573E-2</v>
      </c>
      <c r="K91" s="49"/>
      <c r="L91" s="50">
        <f>(1/2)*H91*B92^(2)+H92*B92-(1/2)*H91*B91^(2)-H92*B91</f>
        <v>2.2678974229462717E-2</v>
      </c>
      <c r="M91" s="49"/>
      <c r="N91" s="50">
        <f>(1/3)*H91^2*B92^3*PI()+H91*H92*B92^2*PI()+H92^2*B92*PI()-(1/3)*H91^2*B91^3*PI()-H91*H92*B91^2*PI()-H92^2*B91*PI()</f>
        <v>2.9636703853551938E-2</v>
      </c>
      <c r="O91" s="49"/>
      <c r="P91" s="49"/>
      <c r="Q91" s="49"/>
      <c r="R91" s="49"/>
      <c r="S91" s="49"/>
      <c r="V91" s="39">
        <f t="shared" si="4"/>
        <v>84</v>
      </c>
      <c r="W91" s="92">
        <f>CALCOLO!$E$24/100*EQUAZIONI!V91</f>
        <v>0.71400000000000008</v>
      </c>
    </row>
    <row r="92" spans="1:23" x14ac:dyDescent="0.25">
      <c r="A92" s="54" t="s">
        <v>141</v>
      </c>
      <c r="B92" s="51">
        <f>C48</f>
        <v>0.53499809416857125</v>
      </c>
      <c r="C92" s="51">
        <v>1</v>
      </c>
      <c r="D92" s="54" t="s">
        <v>109</v>
      </c>
      <c r="E92" s="51">
        <f>F48</f>
        <v>0.41051847617285403</v>
      </c>
      <c r="F92" s="51"/>
      <c r="G92" s="54" t="s">
        <v>173</v>
      </c>
      <c r="H92" s="51">
        <v>0.51693621362752973</v>
      </c>
      <c r="I92" s="49"/>
      <c r="J92" s="50"/>
      <c r="K92" s="49"/>
      <c r="L92" s="50"/>
      <c r="M92" s="49"/>
      <c r="N92" s="50"/>
      <c r="O92" s="49"/>
      <c r="P92" s="49"/>
      <c r="Q92" s="49"/>
      <c r="R92" s="49"/>
      <c r="S92" s="49"/>
      <c r="V92" s="39">
        <f t="shared" si="4"/>
        <v>85</v>
      </c>
      <c r="W92" s="92">
        <f>CALCOLO!$E$24/100*EQUAZIONI!V92</f>
        <v>0.72250000000000003</v>
      </c>
    </row>
    <row r="93" spans="1:23" x14ac:dyDescent="0.25">
      <c r="A93" s="55" t="s">
        <v>141</v>
      </c>
      <c r="B93" s="52">
        <f>C48</f>
        <v>0.53499809416857125</v>
      </c>
      <c r="C93" s="52">
        <v>1</v>
      </c>
      <c r="D93" s="55" t="s">
        <v>109</v>
      </c>
      <c r="E93" s="52">
        <f>F48</f>
        <v>0.41051847617285403</v>
      </c>
      <c r="F93" s="52"/>
      <c r="G93" s="55" t="s">
        <v>174</v>
      </c>
      <c r="H93" s="52">
        <f t="array" ref="H93:H94">MMULT(MINVERSE(B93:C94),E93:E94)</f>
        <v>-0.33945425886337688</v>
      </c>
      <c r="I93" s="49"/>
      <c r="J93" s="50">
        <f>(2/3)*H93*B94^(3/2)+2*H94*B94^(1/2)-(2/3)*H93*B93^(3/2)-2*H94*B93^(1/2)</f>
        <v>2.8229386355376862E-2</v>
      </c>
      <c r="K93" s="49"/>
      <c r="L93" s="50">
        <f>(1/2)*H93*B94^(2)+H94*B94-(1/2)*H93*B93^(2)-H94*B93</f>
        <v>2.1140312322828425E-2</v>
      </c>
      <c r="M93" s="49"/>
      <c r="N93" s="50">
        <f>(1/3)*H93^2*B94^3*PI()+H93*H94*B94^2*PI()+H94^2*B94*PI()-(1/3)*H93^2*B93^3*PI()-H93*H94*B93^2*PI()-H94^2*B93*PI()</f>
        <v>2.667527699214467E-2</v>
      </c>
      <c r="O93" s="49"/>
      <c r="P93" s="49"/>
      <c r="Q93" s="49"/>
      <c r="R93" s="49"/>
      <c r="S93" s="49"/>
      <c r="V93" s="39">
        <f t="shared" si="4"/>
        <v>86</v>
      </c>
      <c r="W93" s="92">
        <f>CALCOLO!$E$24/100*EQUAZIONI!V93</f>
        <v>0.73100000000000009</v>
      </c>
    </row>
    <row r="94" spans="1:23" x14ac:dyDescent="0.25">
      <c r="A94" s="54" t="s">
        <v>142</v>
      </c>
      <c r="B94" s="51">
        <f>C49</f>
        <v>0.58764045875516313</v>
      </c>
      <c r="C94" s="51">
        <v>1</v>
      </c>
      <c r="D94" s="54" t="s">
        <v>110</v>
      </c>
      <c r="E94" s="51">
        <f>F49</f>
        <v>0.39264880131729685</v>
      </c>
      <c r="F94" s="51"/>
      <c r="G94" s="54" t="s">
        <v>175</v>
      </c>
      <c r="H94" s="51">
        <v>0.59212585772216508</v>
      </c>
      <c r="I94" s="49"/>
      <c r="J94" s="50"/>
      <c r="K94" s="49"/>
      <c r="L94" s="50"/>
      <c r="M94" s="49"/>
      <c r="N94" s="50"/>
      <c r="O94" s="49"/>
      <c r="P94" s="49"/>
      <c r="Q94" s="49"/>
      <c r="R94" s="49"/>
      <c r="S94" s="49"/>
      <c r="V94" s="39">
        <f t="shared" si="4"/>
        <v>87</v>
      </c>
      <c r="W94" s="92">
        <f>CALCOLO!$E$24/100*EQUAZIONI!V94</f>
        <v>0.73950000000000005</v>
      </c>
    </row>
    <row r="95" spans="1:23" x14ac:dyDescent="0.25">
      <c r="A95" s="55" t="s">
        <v>142</v>
      </c>
      <c r="B95" s="52">
        <f>C49</f>
        <v>0.58764045875516313</v>
      </c>
      <c r="C95" s="52">
        <v>1</v>
      </c>
      <c r="D95" s="55" t="s">
        <v>110</v>
      </c>
      <c r="E95" s="52">
        <f>F49</f>
        <v>0.39264880131729685</v>
      </c>
      <c r="F95" s="52"/>
      <c r="G95" s="55" t="s">
        <v>176</v>
      </c>
      <c r="H95" s="52">
        <f t="array" ref="H95:H96">MMULT(MINVERSE(B95:C96),E95:E96)</f>
        <v>-0.49314542603130374</v>
      </c>
      <c r="I95" s="49"/>
      <c r="J95" s="50">
        <f>(2/3)*H95*B96^(3/2)+2*H96*B96^(1/2)-(2/3)*H95*B95^(3/2)-2*H96*B95^(1/2)</f>
        <v>2.4240660334366559E-2</v>
      </c>
      <c r="K95" s="49"/>
      <c r="L95" s="50">
        <f>(1/2)*H95*B96^(2)+H96*B96-(1/2)*H95*B95^(2)-H96*B95</f>
        <v>1.8964315786559383E-2</v>
      </c>
      <c r="M95" s="49"/>
      <c r="N95" s="50">
        <f>(1/3)*H95^2*B96^3*PI()+H95*H96*B96^2*PI()+H96^2*B96*PI()-(1/3)*H95^2*B95^3*PI()-H95*H96*B95^2*PI()-H96^2*B95*PI()</f>
        <v>2.2668728797931137E-2</v>
      </c>
      <c r="O95" s="49"/>
      <c r="P95" s="49"/>
      <c r="Q95" s="49"/>
      <c r="R95" s="49"/>
      <c r="S95" s="49"/>
      <c r="V95" s="39">
        <f t="shared" si="4"/>
        <v>88</v>
      </c>
      <c r="W95" s="92">
        <f>CALCOLO!$E$24/100*EQUAZIONI!V95</f>
        <v>0.748</v>
      </c>
    </row>
    <row r="96" spans="1:23" x14ac:dyDescent="0.25">
      <c r="A96" s="54" t="s">
        <v>143</v>
      </c>
      <c r="B96" s="51">
        <f>C50</f>
        <v>0.63749999999999996</v>
      </c>
      <c r="C96" s="51">
        <v>1</v>
      </c>
      <c r="D96" s="54" t="s">
        <v>111</v>
      </c>
      <c r="E96" s="51">
        <f>F50</f>
        <v>0.36806079660838642</v>
      </c>
      <c r="F96" s="51"/>
      <c r="G96" s="54" t="s">
        <v>177</v>
      </c>
      <c r="H96" s="51">
        <v>0.68244100570334254</v>
      </c>
      <c r="I96" s="49"/>
      <c r="J96" s="50"/>
      <c r="K96" s="49"/>
      <c r="L96" s="50"/>
      <c r="M96" s="49"/>
      <c r="N96" s="50"/>
      <c r="O96" s="49"/>
      <c r="P96" s="49"/>
      <c r="Q96" s="49"/>
      <c r="R96" s="49"/>
      <c r="S96" s="49"/>
      <c r="V96" s="39">
        <f t="shared" si="4"/>
        <v>89</v>
      </c>
      <c r="W96" s="92">
        <f>CALCOLO!$E$24/100*EQUAZIONI!V96</f>
        <v>0.75650000000000006</v>
      </c>
    </row>
    <row r="97" spans="1:23" x14ac:dyDescent="0.25">
      <c r="A97" s="55" t="s">
        <v>143</v>
      </c>
      <c r="B97" s="52">
        <f>C50</f>
        <v>0.63749999999999996</v>
      </c>
      <c r="C97" s="52">
        <v>1</v>
      </c>
      <c r="D97" s="55" t="s">
        <v>111</v>
      </c>
      <c r="E97" s="52">
        <f>F50</f>
        <v>0.36806079660838642</v>
      </c>
      <c r="F97" s="52"/>
      <c r="G97" s="55" t="s">
        <v>178</v>
      </c>
      <c r="H97" s="52">
        <f t="array" ref="H97:H98">MMULT(MINVERSE(B97:C98),E97:E98)</f>
        <v>-0.66817863791929888</v>
      </c>
      <c r="I97" s="49"/>
      <c r="J97" s="50">
        <f>(2/3)*H97*B98^(3/2)+2*H98*B98^(1/2)-(2/3)*H97*B97^(3/2)-2*H98*B97^(1/2)</f>
        <v>2.0061921501329794E-2</v>
      </c>
      <c r="K97" s="49"/>
      <c r="L97" s="50">
        <f>(1/2)*H97*B98^(2)+H98*B98-(1/2)*H97*B97^(2)-H98*B97</f>
        <v>1.6299275188597973E-2</v>
      </c>
      <c r="M97" s="49"/>
      <c r="N97" s="50">
        <f>(1/3)*H97^2*B98^3*PI()+H97*H98*B98^2*PI()+H98^2*B98*PI()-(1/3)*H97^2*B97^3*PI()-H97*H98*B97^2*PI()-H98^2*B97*PI()</f>
        <v>1.8067588438298143E-2</v>
      </c>
      <c r="O97" s="49"/>
      <c r="P97" s="49"/>
      <c r="Q97" s="49"/>
      <c r="R97" s="49"/>
      <c r="S97" s="49"/>
      <c r="V97" s="39">
        <f t="shared" si="4"/>
        <v>90</v>
      </c>
      <c r="W97" s="92">
        <f>CALCOLO!$E$24/100*EQUAZIONI!V97</f>
        <v>0.76500000000000001</v>
      </c>
    </row>
    <row r="98" spans="1:23" x14ac:dyDescent="0.25">
      <c r="A98" s="54" t="s">
        <v>144</v>
      </c>
      <c r="B98" s="51">
        <f>C51</f>
        <v>0.68372360732870618</v>
      </c>
      <c r="C98" s="51">
        <v>1</v>
      </c>
      <c r="D98" s="54" t="s">
        <v>112</v>
      </c>
      <c r="E98" s="51">
        <f>F51</f>
        <v>0.33717516962377497</v>
      </c>
      <c r="F98" s="51"/>
      <c r="G98" s="54" t="s">
        <v>179</v>
      </c>
      <c r="H98" s="51">
        <v>0.79402467828193934</v>
      </c>
      <c r="I98" s="49"/>
      <c r="J98" s="50"/>
      <c r="K98" s="49"/>
      <c r="L98" s="50"/>
      <c r="M98" s="49"/>
      <c r="N98" s="50"/>
      <c r="O98" s="49"/>
      <c r="P98" s="49"/>
      <c r="Q98" s="49"/>
      <c r="R98" s="49"/>
      <c r="S98" s="49"/>
      <c r="V98" s="39">
        <f t="shared" si="4"/>
        <v>91</v>
      </c>
      <c r="W98" s="92">
        <f>CALCOLO!$E$24/100*EQUAZIONI!V98</f>
        <v>0.77350000000000008</v>
      </c>
    </row>
    <row r="99" spans="1:23" x14ac:dyDescent="0.25">
      <c r="A99" s="55" t="s">
        <v>144</v>
      </c>
      <c r="B99" s="52">
        <f>C51</f>
        <v>0.68372360732870618</v>
      </c>
      <c r="C99" s="52">
        <v>1</v>
      </c>
      <c r="D99" s="55" t="s">
        <v>112</v>
      </c>
      <c r="E99" s="52">
        <f>F51</f>
        <v>0.33717516962377497</v>
      </c>
      <c r="F99" s="52"/>
      <c r="G99" s="55" t="s">
        <v>180</v>
      </c>
      <c r="H99" s="52">
        <f t="array" ref="H99:H100">MMULT(MINVERSE(B99:C100),E99:E100)</f>
        <v>-0.87697646299275789</v>
      </c>
      <c r="I99" s="49"/>
      <c r="J99" s="50">
        <f>(2/3)*H99*B100^(3/2)+2*H100*B100^(1/2)-(2/3)*H99*B99^(3/2)-2*H100*B99^(1/2)</f>
        <v>1.5882513780209884E-2</v>
      </c>
      <c r="K99" s="49"/>
      <c r="L99" s="50">
        <f>(1/2)*H99*B100^(2)+H100*B100-(1/2)*H99*B99^(2)-H100*B99</f>
        <v>1.3326808641507704E-2</v>
      </c>
      <c r="M99" s="49"/>
      <c r="N99" s="50">
        <f>(1/3)*H99^2*B100^3*PI()+H99*H100*B100^2*PI()+H100^2*B100*PI()-(1/3)*H99^2*B99^3*PI()-H99*H100*B99^2*PI()-H100^2*B99*PI()</f>
        <v>1.3364030561932028E-2</v>
      </c>
      <c r="O99" s="49"/>
      <c r="P99" s="49"/>
      <c r="Q99" s="49"/>
      <c r="R99" s="49"/>
      <c r="S99" s="49"/>
      <c r="V99" s="39">
        <f t="shared" si="4"/>
        <v>92</v>
      </c>
      <c r="W99" s="92">
        <f>CALCOLO!$E$24/100*EQUAZIONI!V99</f>
        <v>0.78200000000000003</v>
      </c>
    </row>
    <row r="100" spans="1:23" x14ac:dyDescent="0.25">
      <c r="A100" s="54" t="s">
        <v>145</v>
      </c>
      <c r="B100" s="51">
        <f>C52</f>
        <v>0.72552038200428259</v>
      </c>
      <c r="C100" s="51">
        <v>1</v>
      </c>
      <c r="D100" s="54" t="s">
        <v>113</v>
      </c>
      <c r="E100" s="51">
        <f>F52</f>
        <v>0.30052038200428272</v>
      </c>
      <c r="F100" s="51"/>
      <c r="G100" s="54" t="s">
        <v>184</v>
      </c>
      <c r="H100" s="51">
        <v>0.93678468044355334</v>
      </c>
      <c r="I100" s="49"/>
      <c r="J100" s="50"/>
      <c r="K100" s="49"/>
      <c r="L100" s="50"/>
      <c r="M100" s="49"/>
      <c r="N100" s="50"/>
      <c r="O100" s="49"/>
      <c r="P100" s="49"/>
      <c r="Q100" s="49"/>
      <c r="R100" s="49"/>
      <c r="S100" s="49"/>
      <c r="V100" s="39">
        <f t="shared" si="4"/>
        <v>93</v>
      </c>
      <c r="W100" s="92">
        <f>CALCOLO!$E$24/100*EQUAZIONI!V100</f>
        <v>0.79050000000000009</v>
      </c>
    </row>
    <row r="101" spans="1:23" x14ac:dyDescent="0.25">
      <c r="A101" s="55" t="s">
        <v>145</v>
      </c>
      <c r="B101" s="52">
        <f>C52</f>
        <v>0.72552038200428259</v>
      </c>
      <c r="C101" s="52">
        <v>1</v>
      </c>
      <c r="D101" s="55" t="s">
        <v>113</v>
      </c>
      <c r="E101" s="52">
        <f>F52</f>
        <v>0.30052038200428272</v>
      </c>
      <c r="F101" s="52"/>
      <c r="G101" s="55" t="s">
        <v>185</v>
      </c>
      <c r="H101" s="52">
        <f t="array" ref="H101:H102">MMULT(MINVERSE(B101:C102),E101:E102)</f>
        <v>-1.1402814581675491</v>
      </c>
      <c r="I101" s="49"/>
      <c r="J101" s="50">
        <f>(2/3)*H101*B102^(3/2)+2*H102*B102^(1/2)-(2/3)*H101*B101^(3/2)-2*H102*B101^(1/2)</f>
        <v>1.1888477859916202E-2</v>
      </c>
      <c r="K101" s="49"/>
      <c r="L101" s="50">
        <f>(1/2)*H101*B102^(2)+H102*B102-(1/2)*H101*B101^(2)-H102*B101</f>
        <v>1.0249484828239064E-2</v>
      </c>
      <c r="M101" s="49"/>
      <c r="N101" s="50">
        <f>(1/3)*H101^2*B102^3*PI()+H101*H102*B102^2*PI()+H102^2*B102*PI()-(1/3)*H101^2*B101^3*PI()-H101*H102*B101^2*PI()-H102^2*B101*PI()</f>
        <v>9.0205103651284091E-3</v>
      </c>
      <c r="O101" s="49"/>
      <c r="P101" s="49"/>
      <c r="Q101" s="49"/>
      <c r="R101" s="49"/>
      <c r="S101" s="49"/>
      <c r="V101" s="39">
        <f t="shared" si="4"/>
        <v>94</v>
      </c>
      <c r="W101" s="92">
        <f>CALCOLO!$E$24/100*EQUAZIONI!V101</f>
        <v>0.79900000000000004</v>
      </c>
    </row>
    <row r="102" spans="1:23" x14ac:dyDescent="0.25">
      <c r="A102" s="54" t="s">
        <v>146</v>
      </c>
      <c r="B102" s="51">
        <f>C53</f>
        <v>0.76217516962377485</v>
      </c>
      <c r="C102" s="51">
        <v>1</v>
      </c>
      <c r="D102" s="54" t="s">
        <v>114</v>
      </c>
      <c r="E102" s="51">
        <f>F53</f>
        <v>0.25872360732870631</v>
      </c>
      <c r="F102" s="51"/>
      <c r="G102" s="54" t="s">
        <v>181</v>
      </c>
      <c r="H102" s="51">
        <v>1.1278178211264027</v>
      </c>
      <c r="I102" s="49"/>
      <c r="J102" s="50"/>
      <c r="K102" s="49"/>
      <c r="L102" s="50"/>
      <c r="M102" s="49"/>
      <c r="N102" s="50"/>
      <c r="O102" s="49"/>
      <c r="P102" s="49"/>
      <c r="Q102" s="49"/>
      <c r="R102" s="49"/>
      <c r="S102" s="49"/>
      <c r="V102" s="39">
        <f t="shared" si="4"/>
        <v>95</v>
      </c>
      <c r="W102" s="92">
        <f>CALCOLO!$E$24/100*EQUAZIONI!V102</f>
        <v>0.80750000000000011</v>
      </c>
    </row>
    <row r="103" spans="1:23" x14ac:dyDescent="0.25">
      <c r="A103" s="55" t="s">
        <v>146</v>
      </c>
      <c r="B103" s="52">
        <f>C53</f>
        <v>0.76217516962377485</v>
      </c>
      <c r="C103" s="52">
        <v>1</v>
      </c>
      <c r="D103" s="55" t="s">
        <v>114</v>
      </c>
      <c r="E103" s="52">
        <f>F53</f>
        <v>0.25872360732870631</v>
      </c>
      <c r="F103" s="52"/>
      <c r="G103" s="55" t="s">
        <v>182</v>
      </c>
      <c r="H103" s="52">
        <f t="array" ref="H103:H104">MMULT(MINVERSE(B103:C104),E103:E104)</f>
        <v>-1.4966057626654896</v>
      </c>
      <c r="I103" s="49"/>
      <c r="J103" s="50">
        <f>(2/3)*H103*B104^(3/2)+2*H104*B104^(1/2)-(2/3)*H103*B103^(3/2)-2*H104*B103^(1/2)</f>
        <v>8.2552974441476579E-3</v>
      </c>
      <c r="K103" s="49"/>
      <c r="L103" s="50">
        <f>(1/2)*H103*B104^(2)+H104*B104-(1/2)*H103*B103^(2)-H104*B103</f>
        <v>7.2770182811490169E-3</v>
      </c>
      <c r="M103" s="49"/>
      <c r="N103" s="50">
        <f>(1/3)*H103^2*B104^3*PI()+H103*H104*B104^2*PI()+H104^2*B104*PI()-(1/3)*H103^2*B103^3*PI()-H103*H104*B103^2*PI()-H104^2*B103*PI()</f>
        <v>5.4036984692089618E-3</v>
      </c>
      <c r="O103" s="49"/>
      <c r="P103" s="49"/>
      <c r="Q103" s="49"/>
      <c r="R103" s="49"/>
      <c r="S103" s="49"/>
      <c r="V103" s="39">
        <f t="shared" si="4"/>
        <v>96</v>
      </c>
      <c r="W103" s="92">
        <f>CALCOLO!$E$24/100*EQUAZIONI!V103</f>
        <v>0.81600000000000006</v>
      </c>
    </row>
    <row r="104" spans="1:23" x14ac:dyDescent="0.25">
      <c r="A104" s="54" t="s">
        <v>147</v>
      </c>
      <c r="B104" s="51">
        <f>C54</f>
        <v>0.79306079660838635</v>
      </c>
      <c r="C104" s="51">
        <v>1</v>
      </c>
      <c r="D104" s="54" t="s">
        <v>115</v>
      </c>
      <c r="E104" s="51">
        <f>F54</f>
        <v>0.21250000000000002</v>
      </c>
      <c r="F104" s="51"/>
      <c r="G104" s="54" t="s">
        <v>186</v>
      </c>
      <c r="H104" s="51">
        <v>1.3993993583481954</v>
      </c>
      <c r="I104" s="49"/>
      <c r="J104" s="50"/>
      <c r="K104" s="49"/>
      <c r="L104" s="50"/>
      <c r="M104" s="49"/>
      <c r="N104" s="50"/>
      <c r="O104" s="49"/>
      <c r="P104" s="49"/>
      <c r="Q104" s="49"/>
      <c r="R104" s="49"/>
      <c r="S104" s="49"/>
      <c r="V104" s="39">
        <f t="shared" si="4"/>
        <v>97</v>
      </c>
      <c r="W104" s="92">
        <f>CALCOLO!$E$24/100*EQUAZIONI!V104</f>
        <v>0.82450000000000001</v>
      </c>
    </row>
    <row r="105" spans="1:23" x14ac:dyDescent="0.25">
      <c r="A105" s="55" t="s">
        <v>147</v>
      </c>
      <c r="B105" s="52">
        <f>C54</f>
        <v>0.79306079660838635</v>
      </c>
      <c r="C105" s="52">
        <v>1</v>
      </c>
      <c r="D105" s="55" t="s">
        <v>115</v>
      </c>
      <c r="E105" s="52">
        <f>F54</f>
        <v>0.21250000000000002</v>
      </c>
      <c r="F105" s="52"/>
      <c r="G105" s="55" t="s">
        <v>187</v>
      </c>
      <c r="H105" s="52">
        <f t="array" ref="H105:H106">MMULT(MINVERSE(B105:C106),E105:E106)</f>
        <v>-2.0277994019892214</v>
      </c>
      <c r="I105" s="49"/>
      <c r="J105" s="50">
        <f>(2/3)*H105*B106^(3/2)+2*H106*B106^(1/2)-(2/3)*H105*B105^(3/2)-2*H106*B105^(1/2)</f>
        <v>5.1410646301746077E-3</v>
      </c>
      <c r="K105" s="49"/>
      <c r="L105" s="50">
        <f>(1/2)*H105*B106^(2)+H106*B106-(1/2)*H105*B105^(2)-H106*B105</f>
        <v>4.6119776831872183E-3</v>
      </c>
      <c r="M105" s="49"/>
      <c r="N105" s="50">
        <f>(1/3)*H105^2*B106^3*PI()+H105*H106*B106^2*PI()+H106^2*B106*PI()-(1/3)*H105^2*B105^3*PI()-H105*H106*B105^2*PI()-H106^2*B105*PI()</f>
        <v>2.7336991752040518E-3</v>
      </c>
      <c r="O105" s="49"/>
      <c r="P105" s="49"/>
      <c r="Q105" s="49"/>
      <c r="R105" s="49"/>
      <c r="S105" s="49"/>
      <c r="V105" s="39">
        <f t="shared" si="4"/>
        <v>98</v>
      </c>
      <c r="W105" s="92">
        <f>CALCOLO!$E$24/100*EQUAZIONI!V105</f>
        <v>0.83300000000000007</v>
      </c>
    </row>
    <row r="106" spans="1:23" x14ac:dyDescent="0.25">
      <c r="A106" s="54" t="s">
        <v>148</v>
      </c>
      <c r="B106" s="51">
        <f>C55</f>
        <v>0.81764880131729678</v>
      </c>
      <c r="C106" s="51">
        <v>1</v>
      </c>
      <c r="D106" s="54" t="s">
        <v>116</v>
      </c>
      <c r="E106" s="51">
        <f>F55</f>
        <v>0.16264045875516325</v>
      </c>
      <c r="F106" s="51"/>
      <c r="G106" s="54" t="s">
        <v>183</v>
      </c>
      <c r="H106" s="51">
        <v>1.8206682091035811</v>
      </c>
      <c r="I106" s="49"/>
      <c r="J106" s="50"/>
      <c r="K106" s="49"/>
      <c r="L106" s="50"/>
      <c r="M106" s="49"/>
      <c r="N106" s="50"/>
      <c r="O106" s="49"/>
      <c r="P106" s="49"/>
      <c r="Q106" s="49"/>
      <c r="R106" s="49"/>
      <c r="S106" s="49"/>
      <c r="V106" s="39">
        <f t="shared" si="4"/>
        <v>99</v>
      </c>
      <c r="W106" s="92">
        <f>CALCOLO!$E$24/100*EQUAZIONI!V106</f>
        <v>0.84150000000000003</v>
      </c>
    </row>
    <row r="107" spans="1:23" x14ac:dyDescent="0.25">
      <c r="A107" s="55" t="s">
        <v>148</v>
      </c>
      <c r="B107" s="52">
        <f>C55</f>
        <v>0.81764880131729678</v>
      </c>
      <c r="C107" s="52">
        <v>1</v>
      </c>
      <c r="D107" s="55" t="s">
        <v>116</v>
      </c>
      <c r="E107" s="52">
        <f>F55</f>
        <v>0.16264045875516325</v>
      </c>
      <c r="F107" s="52"/>
      <c r="G107" s="55" t="s">
        <v>188</v>
      </c>
      <c r="H107" s="52">
        <f t="array" ref="H107:H108">MMULT(MINVERSE(B107:C108),E107:E108)</f>
        <v>-2.9459050045457857</v>
      </c>
      <c r="I107" s="49"/>
      <c r="J107" s="50">
        <f>(2/3)*H107*B108^(3/2)+2*H108*B108^(1/2)-(2/3)*H107*B107^(3/2)-2*H108*B107^(1/2)</f>
        <v>2.6803278123566088E-3</v>
      </c>
      <c r="K107" s="49"/>
      <c r="L107" s="50">
        <f>(1/2)*H107*B108^(2)+H108*B108-(1/2)*H107*B107^(2)-H108*B107</f>
        <v>2.4359811469181203E-3</v>
      </c>
      <c r="M107" s="49"/>
      <c r="N107" s="50">
        <f>(1/3)*H107^2*B108^3*PI()+H107*H108*B108^2*PI()+H108^2*B108*PI()-(1/3)*H107^2*B107^3*PI()-H107*H108*B107^2*PI()-H108^2*B107*PI()</f>
        <v>1.0561969112998781E-3</v>
      </c>
      <c r="O107" s="49"/>
      <c r="P107" s="49"/>
      <c r="Q107" s="49"/>
      <c r="R107" s="49"/>
      <c r="S107" s="49"/>
      <c r="V107" s="39">
        <f t="shared" si="4"/>
        <v>100</v>
      </c>
      <c r="W107" s="92">
        <f>CALCOLO!$E$24/100*EQUAZIONI!V107-CALCOLO!$E$24*10^-5</f>
        <v>0.84999150000000012</v>
      </c>
    </row>
    <row r="108" spans="1:23" x14ac:dyDescent="0.25">
      <c r="A108" s="54" t="s">
        <v>149</v>
      </c>
      <c r="B108" s="51">
        <f>C56</f>
        <v>0.83551847617285391</v>
      </c>
      <c r="C108" s="51">
        <v>1</v>
      </c>
      <c r="D108" s="54" t="s">
        <v>117</v>
      </c>
      <c r="E108" s="51">
        <f>F56</f>
        <v>0.10999809416857143</v>
      </c>
      <c r="F108" s="51"/>
      <c r="G108" s="54" t="s">
        <v>189</v>
      </c>
      <c r="H108" s="51">
        <v>2.5713561545166499</v>
      </c>
      <c r="I108" s="49"/>
      <c r="J108" s="50"/>
      <c r="K108" s="49"/>
      <c r="L108" s="50"/>
      <c r="M108" s="49"/>
      <c r="N108" s="50"/>
      <c r="O108" s="49"/>
      <c r="P108" s="49"/>
      <c r="Q108" s="49"/>
      <c r="R108" s="49"/>
      <c r="S108" s="49"/>
    </row>
    <row r="109" spans="1:23" x14ac:dyDescent="0.25">
      <c r="A109" s="55" t="s">
        <v>149</v>
      </c>
      <c r="B109" s="52">
        <f>C56</f>
        <v>0.83551847617285391</v>
      </c>
      <c r="C109" s="52">
        <v>1</v>
      </c>
      <c r="D109" s="55" t="s">
        <v>117</v>
      </c>
      <c r="E109" s="52">
        <f>F56</f>
        <v>0.10999809416857143</v>
      </c>
      <c r="F109" s="52"/>
      <c r="G109" s="55" t="s">
        <v>190</v>
      </c>
      <c r="H109" s="52">
        <f t="array" ref="H109:H110">MMULT(MINVERSE(B109:C110),E109:E110)</f>
        <v>-5.0273394921258321</v>
      </c>
      <c r="I109" s="49"/>
      <c r="J109" s="50">
        <f>(2/3)*H109*B110^(3/2)+2*H110*B110^(1/2)-(2/3)*H109*B109^(3/2)-2*H110*B109^(1/2)</f>
        <v>9.7885909170969398E-4</v>
      </c>
      <c r="K109" s="49"/>
      <c r="L109" s="50">
        <f>(1/2)*H109*B110^(2)+H110*B110-(1/2)*H109*B109^(2)-H110*B109</f>
        <v>8.9731924028457755E-4</v>
      </c>
      <c r="M109" s="49"/>
      <c r="N109" s="50">
        <f>(1/3)*H109^2*B110^3*PI()+H109*H110*B110^2*PI()+H110^2*B110*PI()-(1/3)*H109^2*B109^3*PI()-H109*H110*B109^2*PI()-H110^2*B109*PI()</f>
        <v>2.4167455962498252E-4</v>
      </c>
      <c r="O109" s="49"/>
      <c r="P109" s="49"/>
      <c r="Q109" s="49"/>
      <c r="R109" s="49"/>
      <c r="S109" s="49"/>
    </row>
    <row r="110" spans="1:23" x14ac:dyDescent="0.25">
      <c r="A110" s="54" t="s">
        <v>150</v>
      </c>
      <c r="B110" s="51">
        <f>C57</f>
        <v>0.84636406608386938</v>
      </c>
      <c r="C110" s="51">
        <v>1</v>
      </c>
      <c r="D110" s="54" t="s">
        <v>118</v>
      </c>
      <c r="E110" s="51">
        <f>F57</f>
        <v>5.5473631693522041E-2</v>
      </c>
      <c r="F110" s="51"/>
      <c r="G110" s="54" t="s">
        <v>191</v>
      </c>
      <c r="H110" s="51">
        <v>4.3104331258331561</v>
      </c>
      <c r="I110" s="49"/>
      <c r="J110" s="50"/>
      <c r="K110" s="49"/>
      <c r="L110" s="50"/>
      <c r="M110" s="49"/>
      <c r="N110" s="50"/>
      <c r="O110" s="49"/>
      <c r="P110" s="49"/>
      <c r="Q110" s="49"/>
      <c r="R110" s="49"/>
      <c r="S110" s="49"/>
    </row>
    <row r="111" spans="1:23" x14ac:dyDescent="0.25">
      <c r="A111" s="55" t="s">
        <v>150</v>
      </c>
      <c r="B111" s="52">
        <f>C57</f>
        <v>0.84636406608386938</v>
      </c>
      <c r="C111" s="52">
        <v>1</v>
      </c>
      <c r="D111" s="55" t="s">
        <v>118</v>
      </c>
      <c r="E111" s="52">
        <f>F57</f>
        <v>5.5473631693522041E-2</v>
      </c>
      <c r="F111" s="52"/>
      <c r="G111" s="55" t="s">
        <v>192</v>
      </c>
      <c r="H111" s="52">
        <f t="array" ref="H111:H112">MMULT(MINVERSE(B111:C112),E111:E112)</f>
        <v>-15.257051688266115</v>
      </c>
      <c r="I111" s="49"/>
      <c r="J111" s="50">
        <f>(2/3)*H111*B112^(3/2)+2*H112*B112^(1/2)-(2/3)*H111*B111^(3/2)-2*H112*B111^(1/2)</f>
        <v>1.0954269317409171E-4</v>
      </c>
      <c r="K111" s="49"/>
      <c r="L111" s="50">
        <f>(1/2)*H111*B112^(2)+H112*B112-(1/2)*H111*B111^(2)-H112*B111</f>
        <v>1.0084922946163033E-4</v>
      </c>
      <c r="M111" s="49"/>
      <c r="N111" s="50">
        <f>(1/3)*H111^2*B112^3*PI()+H111*H112*B112^2*PI()+H112^2*B112*PI()-(1/3)*H111^2*B111^3*PI()-H111*H112*B111^2*PI()-H112^2*B111*PI()</f>
        <v>1.1717036841218942E-5</v>
      </c>
      <c r="O111" s="49"/>
      <c r="P111" s="49"/>
      <c r="Q111" s="49"/>
      <c r="R111" s="49"/>
      <c r="S111" s="49"/>
    </row>
    <row r="112" spans="1:23" x14ac:dyDescent="0.25">
      <c r="A112" s="54" t="s">
        <v>151</v>
      </c>
      <c r="B112" s="51">
        <f>C58</f>
        <v>0.84999999999999987</v>
      </c>
      <c r="C112" s="51">
        <v>1</v>
      </c>
      <c r="D112" s="54" t="s">
        <v>120</v>
      </c>
      <c r="E112" s="51">
        <f>F58</f>
        <v>0</v>
      </c>
      <c r="F112" s="51"/>
      <c r="G112" s="54" t="s">
        <v>193</v>
      </c>
      <c r="H112" s="51">
        <v>12.968493935026196</v>
      </c>
      <c r="I112" s="49"/>
      <c r="J112" s="50"/>
      <c r="K112" s="49"/>
      <c r="L112" s="50"/>
      <c r="M112" s="49"/>
      <c r="N112" s="50"/>
      <c r="O112" s="49"/>
      <c r="P112" s="49"/>
      <c r="Q112" s="49"/>
      <c r="R112" s="49"/>
      <c r="S112" s="49"/>
    </row>
    <row r="113" spans="1:14" x14ac:dyDescent="0.25">
      <c r="J113" s="45"/>
      <c r="L113" s="45"/>
      <c r="N113" s="45"/>
    </row>
    <row r="114" spans="1:14" x14ac:dyDescent="0.25">
      <c r="H114" s="46" t="s">
        <v>226</v>
      </c>
      <c r="I114" s="47"/>
      <c r="J114" s="1">
        <f>SUM(J65:J111)</f>
        <v>0.51943062738651635</v>
      </c>
      <c r="K114" s="47"/>
      <c r="L114" s="1">
        <f>SUM(L65:L111)</f>
        <v>0.28291552163696082</v>
      </c>
      <c r="M114" s="47"/>
      <c r="N114" s="1">
        <f>SUM(N65:N111)</f>
        <v>0.32017962384433341</v>
      </c>
    </row>
    <row r="115" spans="1:14" x14ac:dyDescent="0.25">
      <c r="A115" s="29"/>
      <c r="J115" s="44" t="s">
        <v>221</v>
      </c>
      <c r="L115" s="44" t="s">
        <v>223</v>
      </c>
      <c r="N115" s="44" t="s">
        <v>221</v>
      </c>
    </row>
    <row r="116" spans="1:14" x14ac:dyDescent="0.25">
      <c r="J116" s="44" t="s">
        <v>222</v>
      </c>
      <c r="L116" s="44" t="s">
        <v>224</v>
      </c>
      <c r="N116" s="44" t="s">
        <v>225</v>
      </c>
    </row>
    <row r="118" spans="1:14" x14ac:dyDescent="0.25">
      <c r="A118" s="57" t="s">
        <v>221</v>
      </c>
      <c r="B118" s="56" t="s">
        <v>222</v>
      </c>
      <c r="C118" t="s">
        <v>232</v>
      </c>
    </row>
    <row r="119" spans="1:14" x14ac:dyDescent="0.25">
      <c r="A119" s="57" t="s">
        <v>221</v>
      </c>
      <c r="B119" s="56" t="s">
        <v>224</v>
      </c>
      <c r="C119" t="s">
        <v>233</v>
      </c>
    </row>
    <row r="120" spans="1:14" x14ac:dyDescent="0.25">
      <c r="A120" s="57" t="s">
        <v>221</v>
      </c>
      <c r="B120" s="56" t="s">
        <v>225</v>
      </c>
      <c r="C120" t="s">
        <v>234</v>
      </c>
    </row>
    <row r="124" spans="1:14" ht="15.75" x14ac:dyDescent="0.25">
      <c r="L124" s="24" t="s">
        <v>62</v>
      </c>
    </row>
  </sheetData>
  <protectedRanges>
    <protectedRange sqref="O13 O15 O17" name="Intervallo1"/>
  </protectedRanges>
  <dataValidations count="1">
    <dataValidation type="list" allowBlank="1" showInputMessage="1" showErrorMessage="1" sqref="O13 O15 O17">
      <formula1>sn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4</vt:i4>
      </vt:variant>
    </vt:vector>
  </HeadingPairs>
  <TitlesOfParts>
    <vt:vector size="12" baseType="lpstr">
      <vt:lpstr>ISTRUZIONI</vt:lpstr>
      <vt:lpstr>CALCOLO</vt:lpstr>
      <vt:lpstr>DIMENSIONI APPROSSIMATE</vt:lpstr>
      <vt:lpstr>NOTE</vt:lpstr>
      <vt:lpstr>INTEGRALI DI EFFLUSSO</vt:lpstr>
      <vt:lpstr>INTEGRALI DI AREA</vt:lpstr>
      <vt:lpstr>SETTORI</vt:lpstr>
      <vt:lpstr>EQUAZIONI</vt:lpstr>
      <vt:lpstr>diam</vt:lpstr>
      <vt:lpstr>luc</vt:lpstr>
      <vt:lpstr>luce</vt:lpstr>
      <vt:lpstr>sn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Cics</dc:creator>
  <cp:lastModifiedBy>Davide Cicchini</cp:lastModifiedBy>
  <dcterms:created xsi:type="dcterms:W3CDTF">2011-06-10T23:37:43Z</dcterms:created>
  <dcterms:modified xsi:type="dcterms:W3CDTF">2015-09-18T14:33:35Z</dcterms:modified>
</cp:coreProperties>
</file>