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305" yWindow="-15" windowWidth="10200" windowHeight="8175"/>
  </bookViews>
  <sheets>
    <sheet name="Tabelle" sheetId="1" r:id="rId1"/>
    <sheet name="Foglio2" sheetId="2" r:id="rId2"/>
  </sheets>
  <definedNames>
    <definedName name="solver_adj" localSheetId="1" hidden="1">Foglio2!$C$126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Foglio2!$C$130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0.6843</definedName>
    <definedName name="solver_ver" localSheetId="1" hidden="1">3</definedName>
  </definedNames>
  <calcPr calcId="152511"/>
</workbook>
</file>

<file path=xl/calcChain.xml><?xml version="1.0" encoding="utf-8"?>
<calcChain xmlns="http://schemas.openxmlformats.org/spreadsheetml/2006/main">
  <c r="C125" i="2" l="1"/>
  <c r="C126" i="2"/>
  <c r="C40" i="2" l="1"/>
  <c r="C68" i="2"/>
  <c r="C67" i="2"/>
  <c r="C118" i="2" l="1"/>
  <c r="C121" i="2" l="1"/>
  <c r="C117" i="2"/>
  <c r="C115" i="2"/>
  <c r="C122" i="2" s="1"/>
  <c r="C114" i="2"/>
  <c r="N19" i="2"/>
  <c r="C77" i="2"/>
  <c r="C76" i="2"/>
  <c r="C75" i="2"/>
  <c r="C81" i="2" l="1"/>
  <c r="C185" i="2"/>
  <c r="C83" i="2"/>
  <c r="C80" i="2"/>
  <c r="C82" i="2"/>
  <c r="C119" i="2"/>
  <c r="C116" i="2"/>
  <c r="C35" i="2"/>
  <c r="C36" i="2"/>
  <c r="C37" i="2"/>
  <c r="C34" i="2"/>
  <c r="C45" i="2"/>
  <c r="C44" i="2"/>
  <c r="C43" i="2"/>
  <c r="C42" i="2"/>
  <c r="C41" i="2"/>
  <c r="C39" i="2"/>
  <c r="C38" i="2"/>
  <c r="C135" i="2" l="1"/>
  <c r="C134" i="2"/>
  <c r="C94" i="2"/>
  <c r="E85" i="2" s="1"/>
  <c r="C93" i="2"/>
  <c r="C85" i="2"/>
  <c r="C84" i="2"/>
  <c r="C89" i="2" s="1"/>
  <c r="C91" i="2" s="1"/>
  <c r="C123" i="2"/>
  <c r="C130" i="2" s="1"/>
  <c r="C47" i="2"/>
  <c r="C51" i="2" s="1"/>
  <c r="C46" i="2"/>
  <c r="C12" i="2"/>
  <c r="C103" i="2" l="1"/>
  <c r="C105" i="2" s="1"/>
  <c r="C162" i="2" s="1"/>
  <c r="C144" i="2"/>
  <c r="C146" i="2" s="1"/>
  <c r="C173" i="2" s="1"/>
  <c r="C149" i="2"/>
  <c r="C96" i="2"/>
  <c r="C97" i="2"/>
  <c r="C132" i="2"/>
  <c r="C50" i="2"/>
  <c r="C22" i="2"/>
  <c r="C148" i="2" l="1"/>
  <c r="C172" i="2" s="1"/>
  <c r="C108" i="2"/>
  <c r="C107" i="2"/>
  <c r="C161" i="2" s="1"/>
  <c r="C137" i="2"/>
  <c r="C169" i="2"/>
  <c r="C186" i="2" s="1"/>
  <c r="C187" i="2" s="1"/>
  <c r="C138" i="2"/>
  <c r="C63" i="2"/>
  <c r="C157" i="2" s="1"/>
  <c r="C64" i="2"/>
  <c r="C158" i="2" s="1"/>
  <c r="C52" i="2"/>
  <c r="C53" i="2"/>
  <c r="C168" i="2" l="1"/>
  <c r="C180" i="2"/>
  <c r="C181" i="2" s="1"/>
</calcChain>
</file>

<file path=xl/sharedStrings.xml><?xml version="1.0" encoding="utf-8"?>
<sst xmlns="http://schemas.openxmlformats.org/spreadsheetml/2006/main" count="396" uniqueCount="246">
  <si>
    <r>
      <t>Tabella per la definizione di k</t>
    </r>
    <r>
      <rPr>
        <sz val="9"/>
        <color theme="1"/>
        <rFont val="Calibri"/>
        <family val="2"/>
        <scheme val="minor"/>
      </rPr>
      <t>mod</t>
    </r>
    <r>
      <rPr>
        <sz val="11"/>
        <color theme="1"/>
        <rFont val="Calibri"/>
        <family val="2"/>
        <scheme val="minor"/>
      </rPr>
      <t xml:space="preserve"> </t>
    </r>
  </si>
  <si>
    <t>Tipo di azione esterna</t>
  </si>
  <si>
    <t>Durata</t>
  </si>
  <si>
    <t>tl [s]</t>
  </si>
  <si>
    <t>kmod</t>
  </si>
  <si>
    <t>LEFM</t>
  </si>
  <si>
    <t>Vento (raffica)</t>
  </si>
  <si>
    <t>Transito temporaneo</t>
  </si>
  <si>
    <t>Vento (cumulato)</t>
  </si>
  <si>
    <t>Variazioni temperatura giornaliere</t>
  </si>
  <si>
    <t>Neve (1 settimana)</t>
  </si>
  <si>
    <t>Neve (3 mesi)</t>
  </si>
  <si>
    <t>Variazioni temperatura stagionale</t>
  </si>
  <si>
    <t>Peso proprio</t>
  </si>
  <si>
    <t>091-0,88</t>
  </si>
  <si>
    <t>3-5 sec</t>
  </si>
  <si>
    <t>10 min</t>
  </si>
  <si>
    <t>11 ore</t>
  </si>
  <si>
    <t>1 settimana</t>
  </si>
  <si>
    <t>3 mesi</t>
  </si>
  <si>
    <t>6 mesi</t>
  </si>
  <si>
    <t>50 anni</t>
  </si>
  <si>
    <t>Tipo di vetro</t>
  </si>
  <si>
    <t>Valori di ked e k'ed in corrispondenza del bordo</t>
  </si>
  <si>
    <t>Tagliato</t>
  </si>
  <si>
    <t>bisellato</t>
  </si>
  <si>
    <t>molato</t>
  </si>
  <si>
    <t>lucidato</t>
  </si>
  <si>
    <t>Ricotto</t>
  </si>
  <si>
    <t>Indurito</t>
  </si>
  <si>
    <t>da evitare</t>
  </si>
  <si>
    <t>Temprato termicamente</t>
  </si>
  <si>
    <t>Temprato chimicamente</t>
  </si>
  <si>
    <t>Ricotto stampato</t>
  </si>
  <si>
    <t>OSS: valori da utilizzarsi per verifiche in zone a distanza d&lt;5 s (s=spessore lastra) dal bordo o da fori. Per d&gt;5 s si assume ked=1</t>
  </si>
  <si>
    <r>
      <t>k</t>
    </r>
    <r>
      <rPr>
        <b/>
        <sz val="8"/>
        <color theme="1"/>
        <rFont val="Calibri"/>
        <family val="2"/>
        <scheme val="minor"/>
      </rPr>
      <t>ed</t>
    </r>
  </si>
  <si>
    <r>
      <t>k'</t>
    </r>
    <r>
      <rPr>
        <b/>
        <sz val="8"/>
        <color theme="1"/>
        <rFont val="Calibri"/>
        <family val="2"/>
        <scheme val="minor"/>
      </rPr>
      <t>ed</t>
    </r>
  </si>
  <si>
    <t>Vetro</t>
  </si>
  <si>
    <t>ksf</t>
  </si>
  <si>
    <t>Temprato/indurito termicamente</t>
  </si>
  <si>
    <t>Temprato/indurito chimicamente</t>
  </si>
  <si>
    <t>Nessun trattamento</t>
  </si>
  <si>
    <t>Sabbiato</t>
  </si>
  <si>
    <t>Acidato</t>
  </si>
  <si>
    <t xml:space="preserve">Smaltato </t>
  </si>
  <si>
    <t>Stampato</t>
  </si>
  <si>
    <t>Classe</t>
  </si>
  <si>
    <t>Vetro ricotto</t>
  </si>
  <si>
    <t>Vetro presollecitato</t>
  </si>
  <si>
    <t>prima</t>
  </si>
  <si>
    <t>seconda</t>
  </si>
  <si>
    <t>RM</t>
  </si>
  <si>
    <t>Coeff. Parziali</t>
  </si>
  <si>
    <t>γM</t>
  </si>
  <si>
    <t>γM;v</t>
  </si>
  <si>
    <t>Trattamento di presollecitazione</t>
  </si>
  <si>
    <t>kv</t>
  </si>
  <si>
    <t>Trattamento termico con processo orizzontale</t>
  </si>
  <si>
    <t>Trattamento termico con processo verticale</t>
  </si>
  <si>
    <t>Indurimento chimico</t>
  </si>
  <si>
    <t>k</t>
  </si>
  <si>
    <t>Condizioni di vincolo</t>
  </si>
  <si>
    <t>Lastra rettangolare vincolata in modo continuo su 4 bordi</t>
  </si>
  <si>
    <t>Lastra rettangolare vincolata in modo continuo su 2 bordi</t>
  </si>
  <si>
    <t>Lastra rettangolare incastrata in un bordo; carico distribuito uniformemente</t>
  </si>
  <si>
    <t>Lastra rettangolare incastrata in un bordo; carico distribuito su una linea parallela al bordo incastrato</t>
  </si>
  <si>
    <t>Lastra rettangolare vincolata su 4 punti in prossimità degli angoli; carico unif</t>
  </si>
  <si>
    <t>Finitura del bordo</t>
  </si>
  <si>
    <t>Distribuzione delle tensioni lungo il bordo</t>
  </si>
  <si>
    <t>Costante</t>
  </si>
  <si>
    <t>Parabolica</t>
  </si>
  <si>
    <t>Triangolare</t>
  </si>
  <si>
    <t>kb</t>
  </si>
  <si>
    <t>Bordo molato</t>
  </si>
  <si>
    <t>Bordo lucidato</t>
  </si>
  <si>
    <t>Classe del vetro: denominazione</t>
  </si>
  <si>
    <t>Vetro float (nessun trattamento)</t>
  </si>
  <si>
    <t>Vetro float indurito termicamente</t>
  </si>
  <si>
    <t>Vetro float temprato termicamente</t>
  </si>
  <si>
    <t>Vetro float indurito chimicamente</t>
  </si>
  <si>
    <t>Vetro tirato ricotto</t>
  </si>
  <si>
    <t>Vetro tirato indurito</t>
  </si>
  <si>
    <t>Vetro tirato temprato term.</t>
  </si>
  <si>
    <t>Vetro tirato indurito chim.</t>
  </si>
  <si>
    <t>Vetro decorato/ stampato ricotto</t>
  </si>
  <si>
    <t>Vetro decorato/ stampato indurito</t>
  </si>
  <si>
    <t>Vetro decorato/ stampato temp. Term.</t>
  </si>
  <si>
    <t>Vetro decorato/ stampato ind. Chim.</t>
  </si>
  <si>
    <t>Vetro smaltato e decorato ricotto</t>
  </si>
  <si>
    <t>Vetro smaltato e decorato indurito</t>
  </si>
  <si>
    <t>Vetro smaltato e decorato temp. Term.</t>
  </si>
  <si>
    <t>Vetro smaltato e decorato ind. Chim.</t>
  </si>
  <si>
    <t xml:space="preserve"> fb;k [N/mm2]</t>
  </si>
  <si>
    <t>-</t>
  </si>
  <si>
    <t>Vetro smaltato ricotto</t>
  </si>
  <si>
    <t>Vetro smaltato indurito</t>
  </si>
  <si>
    <t>Vetro smaltato tempr. Term.</t>
  </si>
  <si>
    <t xml:space="preserve">Vetro smaltato ind. Chim. </t>
  </si>
  <si>
    <t>Analisi di Carico</t>
  </si>
  <si>
    <t>Peso proprio del vetro stratificato</t>
  </si>
  <si>
    <t>PP vetro</t>
  </si>
  <si>
    <t>PP intercalare</t>
  </si>
  <si>
    <t>;</t>
  </si>
  <si>
    <t>kN/m3</t>
  </si>
  <si>
    <t>kN/m2</t>
  </si>
  <si>
    <t>spessore</t>
  </si>
  <si>
    <t>m</t>
  </si>
  <si>
    <t>PP vetro stratificato</t>
  </si>
  <si>
    <t>Azione della neve</t>
  </si>
  <si>
    <t>qs</t>
  </si>
  <si>
    <t>durata di progetto dell'azione</t>
  </si>
  <si>
    <t>mesi</t>
  </si>
  <si>
    <t>temperatura di riferimento</t>
  </si>
  <si>
    <t>°C</t>
  </si>
  <si>
    <t>Tabella 1</t>
  </si>
  <si>
    <t>Tabella 2</t>
  </si>
  <si>
    <t>Tabella 3</t>
  </si>
  <si>
    <t>Tab. 4</t>
  </si>
  <si>
    <t>Tab. 5</t>
  </si>
  <si>
    <t>Tabella 6</t>
  </si>
  <si>
    <t>Tabella 7</t>
  </si>
  <si>
    <t>Tab. 8</t>
  </si>
  <si>
    <t>Tabella 9</t>
  </si>
  <si>
    <t>Resistenza di progetto</t>
  </si>
  <si>
    <t>Vedere tabella 1</t>
  </si>
  <si>
    <t>ked</t>
  </si>
  <si>
    <t>Vedere tabella 2</t>
  </si>
  <si>
    <t>Vedere tabella 3</t>
  </si>
  <si>
    <t>k'ed</t>
  </si>
  <si>
    <t>fg;k</t>
  </si>
  <si>
    <t>Mpa</t>
  </si>
  <si>
    <t>Vedere tabella 9</t>
  </si>
  <si>
    <t>RM;v</t>
  </si>
  <si>
    <t>Vedere tabella 4</t>
  </si>
  <si>
    <t>Vedere tabella 5</t>
  </si>
  <si>
    <t>Vedere tabella 6</t>
  </si>
  <si>
    <t>Vedere tabella 7</t>
  </si>
  <si>
    <t>Vedere tabella 8</t>
  </si>
  <si>
    <t>Grandezze ricavate</t>
  </si>
  <si>
    <t>λgA</t>
  </si>
  <si>
    <t>λgl</t>
  </si>
  <si>
    <t>fb;k</t>
  </si>
  <si>
    <t>Dimensioni geometriche</t>
  </si>
  <si>
    <t>A</t>
  </si>
  <si>
    <t>m2</t>
  </si>
  <si>
    <t>MPa</t>
  </si>
  <si>
    <t>Vedere tabella 10</t>
  </si>
  <si>
    <t>Prodotti</t>
  </si>
  <si>
    <t xml:space="preserve">Indurito termicamente </t>
  </si>
  <si>
    <t>fg;k per lastre in vetro ricotto;  fb;k lastre in vetro presollecitato</t>
  </si>
  <si>
    <t>Indurito chimicamente</t>
  </si>
  <si>
    <t>Lastre di vetro float</t>
  </si>
  <si>
    <t>Lastre di vetro stampato</t>
  </si>
  <si>
    <t>Lastre di vetro smaltato</t>
  </si>
  <si>
    <t xml:space="preserve">Tabella 10 </t>
  </si>
  <si>
    <t>kmod (PP)</t>
  </si>
  <si>
    <t>kmod (neve)</t>
  </si>
  <si>
    <t>fg;d (PP)</t>
  </si>
  <si>
    <t>fg;d (neve)</t>
  </si>
  <si>
    <t>Carichi di progetto</t>
  </si>
  <si>
    <t>γg (coeff. Parziale per azioni perm.)</t>
  </si>
  <si>
    <t>Fd (SLU)</t>
  </si>
  <si>
    <t>Fd (SLE)</t>
  </si>
  <si>
    <t>Dati di Input</t>
  </si>
  <si>
    <t>Dati di Output</t>
  </si>
  <si>
    <t>lb (lato libero)</t>
  </si>
  <si>
    <t>h (lato vincolato)</t>
  </si>
  <si>
    <t>Metodo "Enhanced effective Thickness"</t>
  </si>
  <si>
    <t>h_int (spessore intercalare polime)</t>
  </si>
  <si>
    <t>b (larghezza trave)</t>
  </si>
  <si>
    <t>l (lunghezza trave)</t>
  </si>
  <si>
    <t>E (modulo di Young vetro)</t>
  </si>
  <si>
    <t>G (modulo a taglio intercalare)</t>
  </si>
  <si>
    <t>Proprietà</t>
  </si>
  <si>
    <t>Densità</t>
  </si>
  <si>
    <t>Modulo di Young</t>
  </si>
  <si>
    <t>Coeff. Di Poisson</t>
  </si>
  <si>
    <t>Coeff. Di dilatazione termica</t>
  </si>
  <si>
    <t>Calore specifico</t>
  </si>
  <si>
    <t>Tenacità</t>
  </si>
  <si>
    <t>Temperatura di transizione</t>
  </si>
  <si>
    <t>Massima temperatura di servizio</t>
  </si>
  <si>
    <t>2250-2750</t>
  </si>
  <si>
    <t>kg/m3</t>
  </si>
  <si>
    <t>63000-77000</t>
  </si>
  <si>
    <t>0,20-0,24</t>
  </si>
  <si>
    <r>
      <t xml:space="preserve">3,1-6 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; 9 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</si>
  <si>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 xml:space="preserve">720 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; 800 </t>
    </r>
    <r>
      <rPr>
        <vertAlign val="superscript"/>
        <sz val="11"/>
        <color theme="1"/>
        <rFont val="Calibri"/>
        <family val="2"/>
        <scheme val="minor"/>
      </rPr>
      <t>(2)</t>
    </r>
  </si>
  <si>
    <t>μm/(m °K)</t>
  </si>
  <si>
    <t>J/(kg °K)</t>
  </si>
  <si>
    <t>Conducibilità termica</t>
  </si>
  <si>
    <t>0,9-1</t>
  </si>
  <si>
    <t>W/(m °K)</t>
  </si>
  <si>
    <r>
      <t>MPa  m</t>
    </r>
    <r>
      <rPr>
        <vertAlign val="superscript"/>
        <sz val="11"/>
        <color theme="1"/>
        <rFont val="Calibri"/>
        <family val="2"/>
      </rPr>
      <t>1/2</t>
    </r>
  </si>
  <si>
    <t>Tabella 11</t>
  </si>
  <si>
    <t>Vedere tabella 11</t>
  </si>
  <si>
    <t>A*</t>
  </si>
  <si>
    <t>Ψ (coeff. Che dipende dai vin. E car)</t>
  </si>
  <si>
    <t>Tabella 12</t>
  </si>
  <si>
    <t>Vedere tabella 12</t>
  </si>
  <si>
    <t>mm-2</t>
  </si>
  <si>
    <t>N/mm2</t>
  </si>
  <si>
    <t>mm</t>
  </si>
  <si>
    <t>spessore_tot</t>
  </si>
  <si>
    <t>s_strato 1</t>
  </si>
  <si>
    <t>m;</t>
  </si>
  <si>
    <t>mm2</t>
  </si>
  <si>
    <t>J1 (momento d'inerzia lastra 1)</t>
  </si>
  <si>
    <t>J2 (momento d'inerzia lastra 2)</t>
  </si>
  <si>
    <t>mm4</t>
  </si>
  <si>
    <t>η</t>
  </si>
  <si>
    <t>Jfull</t>
  </si>
  <si>
    <t>Comportamento trave</t>
  </si>
  <si>
    <t>Comportamento piastra</t>
  </si>
  <si>
    <t>h1 (spessore strato 1)</t>
  </si>
  <si>
    <t>h2 (spessore strato 2)</t>
  </si>
  <si>
    <t>h_int</t>
  </si>
  <si>
    <t>D1 (rigidezza intercalare strato 1)</t>
  </si>
  <si>
    <t>D2 (rigidezza intercalare strato 2)</t>
  </si>
  <si>
    <t>Coeff di Poisson</t>
  </si>
  <si>
    <t>d1 (distanza dal baricentro geo)</t>
  </si>
  <si>
    <t>d2 (distanza dal baricentro geo)</t>
  </si>
  <si>
    <t>d</t>
  </si>
  <si>
    <t>s_strato 2</t>
  </si>
  <si>
    <t>Dfull</t>
  </si>
  <si>
    <t>Is</t>
  </si>
  <si>
    <t>hw</t>
  </si>
  <si>
    <t>hs;1</t>
  </si>
  <si>
    <t>hs;2</t>
  </si>
  <si>
    <t>Verifica</t>
  </si>
  <si>
    <t>h1_sig</t>
  </si>
  <si>
    <t>h2_sig</t>
  </si>
  <si>
    <t>Tensioni e Deflessioni</t>
  </si>
  <si>
    <t>sig_max</t>
  </si>
  <si>
    <t>PP</t>
  </si>
  <si>
    <t>w_max</t>
  </si>
  <si>
    <t>Peso Proprio</t>
  </si>
  <si>
    <t>Neve</t>
  </si>
  <si>
    <t>γQ (coeff. Parziale per azioni var.)</t>
  </si>
  <si>
    <t>Verifiche</t>
  </si>
  <si>
    <t>Resistenza</t>
  </si>
  <si>
    <t>Deflessione</t>
  </si>
  <si>
    <t>w_lim</t>
  </si>
  <si>
    <r>
      <t>SOMMA(</t>
    </r>
    <r>
      <rPr>
        <sz val="11"/>
        <color theme="1"/>
        <rFont val="Calibri"/>
        <family val="2"/>
      </rPr>
      <t>σ/f_g)</t>
    </r>
  </si>
  <si>
    <t>Tabella 13</t>
  </si>
  <si>
    <t>Vedere tabella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</si>
</sst>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7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/>
    <xf numFmtId="0" fontId="0" fillId="0" borderId="0" xfId="0" applyFill="1"/>
    <xf numFmtId="0" fontId="1" fillId="0" borderId="0" xfId="0" applyFont="1" applyFill="1"/>
    <xf numFmtId="11" fontId="0" fillId="0" borderId="0" xfId="0" applyNumberFormat="1" applyFill="1"/>
    <xf numFmtId="0" fontId="0" fillId="0" borderId="16" xfId="0" applyBorder="1"/>
    <xf numFmtId="0" fontId="1" fillId="6" borderId="15" xfId="0" applyFont="1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4" fillId="0" borderId="1" xfId="0" applyFont="1" applyBorder="1"/>
    <xf numFmtId="0" fontId="9" fillId="0" borderId="1" xfId="0" applyFont="1" applyBorder="1"/>
    <xf numFmtId="0" fontId="1" fillId="6" borderId="1" xfId="0" applyFont="1" applyFill="1" applyBorder="1"/>
    <xf numFmtId="0" fontId="1" fillId="0" borderId="1" xfId="0" applyFont="1" applyBorder="1"/>
    <xf numFmtId="11" fontId="0" fillId="5" borderId="1" xfId="0" applyNumberFormat="1" applyFill="1" applyBorder="1"/>
    <xf numFmtId="11" fontId="0" fillId="6" borderId="1" xfId="0" applyNumberFormat="1" applyFill="1" applyBorder="1"/>
    <xf numFmtId="0" fontId="0" fillId="0" borderId="20" xfId="0" applyBorder="1"/>
    <xf numFmtId="0" fontId="0" fillId="6" borderId="4" xfId="0" applyFill="1" applyBorder="1"/>
    <xf numFmtId="2" fontId="0" fillId="6" borderId="4" xfId="0" applyNumberFormat="1" applyFill="1" applyBorder="1"/>
    <xf numFmtId="0" fontId="0" fillId="3" borderId="1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0" borderId="0" xfId="0" applyFont="1" applyAlignment="1">
      <alignment horizontal="center" vertical="center" textRotation="9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123</xdr:row>
      <xdr:rowOff>0</xdr:rowOff>
    </xdr:from>
    <xdr:to>
      <xdr:col>5</xdr:col>
      <xdr:colOff>382656</xdr:colOff>
      <xdr:row>138</xdr:row>
      <xdr:rowOff>10684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3993475"/>
          <a:ext cx="4097406" cy="28681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7</xdr:col>
      <xdr:colOff>11524</xdr:colOff>
      <xdr:row>147</xdr:row>
      <xdr:rowOff>9991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7422475"/>
          <a:ext cx="4945474" cy="115299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147</xdr:row>
      <xdr:rowOff>0</xdr:rowOff>
    </xdr:from>
    <xdr:to>
      <xdr:col>6</xdr:col>
      <xdr:colOff>573480</xdr:colOff>
      <xdr:row>177</xdr:row>
      <xdr:rowOff>30897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565475"/>
          <a:ext cx="4897830" cy="57458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6</xdr:col>
      <xdr:colOff>602066</xdr:colOff>
      <xdr:row>189</xdr:row>
      <xdr:rowOff>19982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4280475"/>
          <a:ext cx="4926416" cy="2305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2</xdr:row>
      <xdr:rowOff>133350</xdr:rowOff>
    </xdr:from>
    <xdr:to>
      <xdr:col>9</xdr:col>
      <xdr:colOff>267871</xdr:colOff>
      <xdr:row>12</xdr:row>
      <xdr:rowOff>96036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514350"/>
          <a:ext cx="2896771" cy="1943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showGridLines="0" showRowColHeaders="0" tabSelected="1" zoomScaleNormal="100" workbookViewId="0">
      <selection activeCell="L152" sqref="L152"/>
    </sheetView>
  </sheetViews>
  <sheetFormatPr defaultRowHeight="15" x14ac:dyDescent="0.25"/>
  <cols>
    <col min="3" max="3" width="35.28515625" customWidth="1"/>
    <col min="4" max="4" width="11.28515625" bestFit="1" customWidth="1"/>
  </cols>
  <sheetData>
    <row r="3" spans="1:5" x14ac:dyDescent="0.25">
      <c r="C3" t="s">
        <v>0</v>
      </c>
    </row>
    <row r="5" spans="1:5" x14ac:dyDescent="0.25">
      <c r="A5" s="59" t="s">
        <v>114</v>
      </c>
      <c r="C5" s="66" t="s">
        <v>1</v>
      </c>
      <c r="D5" s="10" t="s">
        <v>2</v>
      </c>
      <c r="E5" s="5" t="s">
        <v>4</v>
      </c>
    </row>
    <row r="6" spans="1:5" ht="15.75" thickBot="1" x14ac:dyDescent="0.3">
      <c r="A6" s="59"/>
      <c r="C6" s="67"/>
      <c r="D6" s="11" t="s">
        <v>3</v>
      </c>
      <c r="E6" s="6" t="s">
        <v>5</v>
      </c>
    </row>
    <row r="7" spans="1:5" x14ac:dyDescent="0.25">
      <c r="A7" s="59"/>
      <c r="C7" s="13" t="s">
        <v>6</v>
      </c>
      <c r="D7" s="12" t="s">
        <v>15</v>
      </c>
      <c r="E7" s="4" t="s">
        <v>14</v>
      </c>
    </row>
    <row r="8" spans="1:5" x14ac:dyDescent="0.25">
      <c r="A8" s="59"/>
      <c r="C8" s="14" t="s">
        <v>7</v>
      </c>
      <c r="D8" s="3">
        <v>30</v>
      </c>
      <c r="E8" s="2">
        <v>0.78</v>
      </c>
    </row>
    <row r="9" spans="1:5" x14ac:dyDescent="0.25">
      <c r="A9" s="59"/>
      <c r="C9" s="14" t="s">
        <v>8</v>
      </c>
      <c r="D9" s="3" t="s">
        <v>16</v>
      </c>
      <c r="E9" s="2">
        <v>0.65</v>
      </c>
    </row>
    <row r="10" spans="1:5" x14ac:dyDescent="0.25">
      <c r="A10" s="59"/>
      <c r="C10" s="14" t="s">
        <v>9</v>
      </c>
      <c r="D10" s="3" t="s">
        <v>17</v>
      </c>
      <c r="E10" s="2">
        <v>0.5</v>
      </c>
    </row>
    <row r="11" spans="1:5" x14ac:dyDescent="0.25">
      <c r="A11" s="59"/>
      <c r="C11" s="14" t="s">
        <v>10</v>
      </c>
      <c r="D11" s="3" t="s">
        <v>18</v>
      </c>
      <c r="E11" s="2">
        <v>0.42</v>
      </c>
    </row>
    <row r="12" spans="1:5" x14ac:dyDescent="0.25">
      <c r="A12" s="59"/>
      <c r="C12" s="14" t="s">
        <v>11</v>
      </c>
      <c r="D12" s="3" t="s">
        <v>19</v>
      </c>
      <c r="E12" s="2">
        <v>0.36</v>
      </c>
    </row>
    <row r="13" spans="1:5" x14ac:dyDescent="0.25">
      <c r="A13" s="59"/>
      <c r="C13" s="14" t="s">
        <v>12</v>
      </c>
      <c r="D13" s="3" t="s">
        <v>20</v>
      </c>
      <c r="E13" s="2">
        <v>0.35</v>
      </c>
    </row>
    <row r="14" spans="1:5" x14ac:dyDescent="0.25">
      <c r="A14" s="59"/>
      <c r="C14" s="14" t="s">
        <v>13</v>
      </c>
      <c r="D14" s="3" t="s">
        <v>21</v>
      </c>
      <c r="E14" s="2">
        <v>0.26</v>
      </c>
    </row>
    <row r="19" spans="1:11" x14ac:dyDescent="0.25">
      <c r="A19" s="59" t="s">
        <v>115</v>
      </c>
      <c r="C19" s="66" t="s">
        <v>22</v>
      </c>
      <c r="D19" s="70" t="s">
        <v>23</v>
      </c>
      <c r="E19" s="71"/>
      <c r="F19" s="71"/>
      <c r="G19" s="71"/>
      <c r="H19" s="71"/>
      <c r="I19" s="71"/>
      <c r="J19" s="71"/>
      <c r="K19" s="71"/>
    </row>
    <row r="20" spans="1:11" x14ac:dyDescent="0.25">
      <c r="A20" s="59"/>
      <c r="C20" s="66"/>
      <c r="D20" s="68" t="s">
        <v>24</v>
      </c>
      <c r="E20" s="69"/>
      <c r="F20" s="69" t="s">
        <v>25</v>
      </c>
      <c r="G20" s="69"/>
      <c r="H20" s="69" t="s">
        <v>26</v>
      </c>
      <c r="I20" s="69"/>
      <c r="J20" s="69" t="s">
        <v>27</v>
      </c>
      <c r="K20" s="69"/>
    </row>
    <row r="21" spans="1:11" ht="15.75" thickBot="1" x14ac:dyDescent="0.3">
      <c r="A21" s="59"/>
      <c r="C21" s="67"/>
      <c r="D21" s="15" t="s">
        <v>35</v>
      </c>
      <c r="E21" s="9" t="s">
        <v>36</v>
      </c>
      <c r="F21" s="9" t="s">
        <v>35</v>
      </c>
      <c r="G21" s="9" t="s">
        <v>36</v>
      </c>
      <c r="H21" s="9" t="s">
        <v>35</v>
      </c>
      <c r="I21" s="9" t="s">
        <v>36</v>
      </c>
      <c r="J21" s="9" t="s">
        <v>35</v>
      </c>
      <c r="K21" s="9" t="s">
        <v>36</v>
      </c>
    </row>
    <row r="22" spans="1:11" x14ac:dyDescent="0.25">
      <c r="A22" s="59"/>
      <c r="C22" s="18" t="s">
        <v>28</v>
      </c>
      <c r="D22" s="16">
        <v>0.7</v>
      </c>
      <c r="E22" s="7">
        <v>0.7</v>
      </c>
      <c r="F22" s="7">
        <v>0.7</v>
      </c>
      <c r="G22" s="7">
        <v>0.7</v>
      </c>
      <c r="H22" s="7">
        <v>0.8</v>
      </c>
      <c r="I22" s="7">
        <v>0.8</v>
      </c>
      <c r="J22" s="7">
        <v>0.9</v>
      </c>
      <c r="K22" s="7">
        <v>0.9</v>
      </c>
    </row>
    <row r="23" spans="1:11" x14ac:dyDescent="0.25">
      <c r="A23" s="59"/>
      <c r="C23" s="19" t="s">
        <v>29</v>
      </c>
      <c r="D23" s="60" t="s">
        <v>30</v>
      </c>
      <c r="E23" s="61"/>
      <c r="F23" s="61" t="s">
        <v>30</v>
      </c>
      <c r="G23" s="61"/>
      <c r="H23" s="8">
        <v>0.8</v>
      </c>
      <c r="I23" s="8">
        <v>0.8</v>
      </c>
      <c r="J23" s="8">
        <v>0.8</v>
      </c>
      <c r="K23" s="8">
        <v>0.8</v>
      </c>
    </row>
    <row r="24" spans="1:11" x14ac:dyDescent="0.25">
      <c r="A24" s="59"/>
      <c r="C24" s="19" t="s">
        <v>31</v>
      </c>
      <c r="D24" s="60" t="s">
        <v>30</v>
      </c>
      <c r="E24" s="61"/>
      <c r="F24" s="61" t="s">
        <v>30</v>
      </c>
      <c r="G24" s="61"/>
      <c r="H24" s="8">
        <v>0.8</v>
      </c>
      <c r="I24" s="8">
        <v>0.8</v>
      </c>
      <c r="J24" s="8">
        <v>0.8</v>
      </c>
      <c r="K24" s="8">
        <v>0.8</v>
      </c>
    </row>
    <row r="25" spans="1:11" x14ac:dyDescent="0.25">
      <c r="A25" s="59"/>
      <c r="C25" s="19" t="s">
        <v>32</v>
      </c>
      <c r="D25" s="60" t="s">
        <v>30</v>
      </c>
      <c r="E25" s="61"/>
      <c r="F25" s="61" t="s">
        <v>30</v>
      </c>
      <c r="G25" s="61"/>
      <c r="H25" s="8">
        <v>0.6</v>
      </c>
      <c r="I25" s="8">
        <v>0.7</v>
      </c>
      <c r="J25" s="8">
        <v>0.6</v>
      </c>
      <c r="K25" s="8">
        <v>0.7</v>
      </c>
    </row>
    <row r="26" spans="1:11" x14ac:dyDescent="0.25">
      <c r="A26" s="59"/>
      <c r="C26" s="19" t="s">
        <v>33</v>
      </c>
      <c r="D26" s="17">
        <v>0.7</v>
      </c>
      <c r="E26" s="8">
        <v>0.7</v>
      </c>
      <c r="F26" s="8">
        <v>0.7</v>
      </c>
      <c r="G26" s="8">
        <v>0.7</v>
      </c>
      <c r="H26" s="8">
        <v>0.7</v>
      </c>
      <c r="I26" s="8">
        <v>0.7</v>
      </c>
      <c r="J26" s="8">
        <v>0.7</v>
      </c>
      <c r="K26" s="8">
        <v>0.7</v>
      </c>
    </row>
    <row r="28" spans="1:11" x14ac:dyDescent="0.25">
      <c r="C28" s="72" t="s">
        <v>34</v>
      </c>
      <c r="D28" s="72"/>
      <c r="E28" s="72"/>
      <c r="F28" s="72"/>
      <c r="G28" s="72"/>
      <c r="H28" s="72"/>
      <c r="I28" s="72"/>
      <c r="J28" s="72"/>
      <c r="K28" s="72"/>
    </row>
    <row r="32" spans="1:11" x14ac:dyDescent="0.25">
      <c r="A32" s="59" t="s">
        <v>116</v>
      </c>
      <c r="C32" s="65" t="s">
        <v>37</v>
      </c>
      <c r="D32" s="77" t="s">
        <v>38</v>
      </c>
      <c r="E32" s="78"/>
      <c r="F32" s="78"/>
      <c r="G32" s="78"/>
      <c r="H32" s="78"/>
    </row>
    <row r="33" spans="1:8" x14ac:dyDescent="0.25">
      <c r="A33" s="59"/>
      <c r="C33" s="65"/>
      <c r="D33" s="79" t="s">
        <v>28</v>
      </c>
      <c r="E33" s="73" t="s">
        <v>39</v>
      </c>
      <c r="F33" s="73"/>
      <c r="G33" s="73" t="s">
        <v>40</v>
      </c>
      <c r="H33" s="73"/>
    </row>
    <row r="34" spans="1:8" ht="15.75" thickBot="1" x14ac:dyDescent="0.3">
      <c r="A34" s="59"/>
      <c r="C34" s="76"/>
      <c r="D34" s="80"/>
      <c r="E34" s="74"/>
      <c r="F34" s="74"/>
      <c r="G34" s="74"/>
      <c r="H34" s="74"/>
    </row>
    <row r="35" spans="1:8" x14ac:dyDescent="0.25">
      <c r="A35" s="59"/>
      <c r="C35" s="18" t="s">
        <v>41</v>
      </c>
      <c r="D35" s="16">
        <v>1</v>
      </c>
      <c r="E35" s="75">
        <v>1</v>
      </c>
      <c r="F35" s="75"/>
      <c r="G35" s="75">
        <v>1</v>
      </c>
      <c r="H35" s="75"/>
    </row>
    <row r="36" spans="1:8" x14ac:dyDescent="0.25">
      <c r="A36" s="59"/>
      <c r="C36" s="19" t="s">
        <v>42</v>
      </c>
      <c r="D36" s="17">
        <v>0.5</v>
      </c>
      <c r="E36" s="61">
        <v>0.6</v>
      </c>
      <c r="F36" s="61"/>
      <c r="G36" s="81" t="s">
        <v>30</v>
      </c>
      <c r="H36" s="81"/>
    </row>
    <row r="37" spans="1:8" x14ac:dyDescent="0.25">
      <c r="A37" s="59"/>
      <c r="C37" s="19" t="s">
        <v>43</v>
      </c>
      <c r="D37" s="17">
        <v>0.6</v>
      </c>
      <c r="E37" s="61">
        <v>0.9</v>
      </c>
      <c r="F37" s="61"/>
      <c r="G37" s="81"/>
      <c r="H37" s="81"/>
    </row>
    <row r="38" spans="1:8" x14ac:dyDescent="0.25">
      <c r="A38" s="59"/>
      <c r="C38" s="19" t="s">
        <v>44</v>
      </c>
      <c r="D38" s="17">
        <v>0.75</v>
      </c>
      <c r="E38" s="61">
        <v>0.85</v>
      </c>
      <c r="F38" s="61"/>
      <c r="G38" s="81"/>
      <c r="H38" s="81"/>
    </row>
    <row r="39" spans="1:8" x14ac:dyDescent="0.25">
      <c r="A39" s="59"/>
      <c r="C39" s="19" t="s">
        <v>45</v>
      </c>
      <c r="D39" s="17">
        <v>0.65</v>
      </c>
      <c r="E39" s="61">
        <v>0.7</v>
      </c>
      <c r="F39" s="61"/>
      <c r="G39" s="81"/>
      <c r="H39" s="81"/>
    </row>
    <row r="43" spans="1:8" ht="15.75" thickBot="1" x14ac:dyDescent="0.3">
      <c r="A43" s="59" t="s">
        <v>117</v>
      </c>
      <c r="C43" s="21" t="s">
        <v>46</v>
      </c>
      <c r="D43" s="82" t="s">
        <v>47</v>
      </c>
      <c r="E43" s="83"/>
      <c r="F43" s="83" t="s">
        <v>48</v>
      </c>
      <c r="G43" s="83"/>
    </row>
    <row r="44" spans="1:8" x14ac:dyDescent="0.25">
      <c r="A44" s="59"/>
      <c r="C44" s="18" t="s">
        <v>49</v>
      </c>
      <c r="D44" s="16" t="s">
        <v>51</v>
      </c>
      <c r="E44" s="7">
        <v>0.7</v>
      </c>
      <c r="F44" s="7" t="s">
        <v>132</v>
      </c>
      <c r="G44" s="7">
        <v>0.9</v>
      </c>
    </row>
    <row r="45" spans="1:8" x14ac:dyDescent="0.25">
      <c r="A45" s="59"/>
      <c r="C45" s="19" t="s">
        <v>50</v>
      </c>
      <c r="D45" s="17" t="s">
        <v>51</v>
      </c>
      <c r="E45" s="8">
        <v>1</v>
      </c>
      <c r="F45" s="20" t="s">
        <v>132</v>
      </c>
      <c r="G45" s="8">
        <v>1</v>
      </c>
    </row>
    <row r="49" spans="1:9" ht="15.75" thickBot="1" x14ac:dyDescent="0.3">
      <c r="A49" s="59" t="s">
        <v>118</v>
      </c>
      <c r="D49" s="83" t="s">
        <v>47</v>
      </c>
      <c r="E49" s="83"/>
      <c r="F49" s="83" t="s">
        <v>48</v>
      </c>
      <c r="G49" s="83"/>
    </row>
    <row r="50" spans="1:9" x14ac:dyDescent="0.25">
      <c r="A50" s="59"/>
      <c r="C50" s="19" t="s">
        <v>52</v>
      </c>
      <c r="D50" s="24" t="s">
        <v>53</v>
      </c>
      <c r="E50" s="7">
        <v>2.5499999999999998</v>
      </c>
      <c r="F50" s="23" t="s">
        <v>54</v>
      </c>
      <c r="G50" s="7">
        <v>1.35</v>
      </c>
    </row>
    <row r="54" spans="1:9" ht="15.75" thickBot="1" x14ac:dyDescent="0.3">
      <c r="A54" s="59" t="s">
        <v>119</v>
      </c>
      <c r="C54" s="21" t="s">
        <v>55</v>
      </c>
      <c r="D54" s="25" t="s">
        <v>56</v>
      </c>
    </row>
    <row r="55" spans="1:9" x14ac:dyDescent="0.25">
      <c r="A55" s="59"/>
      <c r="C55" s="18" t="s">
        <v>41</v>
      </c>
      <c r="D55" s="16">
        <v>0</v>
      </c>
    </row>
    <row r="56" spans="1:9" ht="30" x14ac:dyDescent="0.25">
      <c r="A56" s="59"/>
      <c r="C56" s="26" t="s">
        <v>57</v>
      </c>
      <c r="D56" s="3">
        <v>1</v>
      </c>
    </row>
    <row r="57" spans="1:9" ht="30" x14ac:dyDescent="0.25">
      <c r="A57" s="59"/>
      <c r="C57" s="26" t="s">
        <v>58</v>
      </c>
      <c r="D57" s="3">
        <v>0.6</v>
      </c>
    </row>
    <row r="58" spans="1:9" x14ac:dyDescent="0.25">
      <c r="A58" s="59"/>
      <c r="C58" s="19" t="s">
        <v>59</v>
      </c>
      <c r="D58" s="17">
        <v>0.95</v>
      </c>
    </row>
    <row r="62" spans="1:9" ht="15.75" thickBot="1" x14ac:dyDescent="0.3">
      <c r="A62" s="59" t="s">
        <v>120</v>
      </c>
      <c r="C62" s="27" t="s">
        <v>60</v>
      </c>
      <c r="D62" s="92" t="s">
        <v>61</v>
      </c>
      <c r="E62" s="93"/>
      <c r="F62" s="93"/>
      <c r="G62" s="93"/>
      <c r="H62" s="93"/>
      <c r="I62" s="93"/>
    </row>
    <row r="63" spans="1:9" x14ac:dyDescent="0.25">
      <c r="A63" s="59"/>
      <c r="C63" s="13">
        <v>0.14499999999999999</v>
      </c>
      <c r="D63" s="84" t="s">
        <v>62</v>
      </c>
      <c r="E63" s="85"/>
      <c r="F63" s="85"/>
      <c r="G63" s="85"/>
      <c r="H63" s="85"/>
      <c r="I63" s="85"/>
    </row>
    <row r="64" spans="1:9" x14ac:dyDescent="0.25">
      <c r="A64" s="59"/>
      <c r="C64" s="14">
        <v>5.3999999999999999E-2</v>
      </c>
      <c r="D64" s="86" t="s">
        <v>63</v>
      </c>
      <c r="E64" s="81"/>
      <c r="F64" s="81"/>
      <c r="G64" s="81"/>
      <c r="H64" s="81"/>
      <c r="I64" s="81"/>
    </row>
    <row r="65" spans="1:9" x14ac:dyDescent="0.25">
      <c r="A65" s="59"/>
      <c r="C65" s="91">
        <v>1.2999999999999999E-2</v>
      </c>
      <c r="D65" s="87" t="s">
        <v>64</v>
      </c>
      <c r="E65" s="88"/>
      <c r="F65" s="88"/>
      <c r="G65" s="88"/>
      <c r="H65" s="88"/>
      <c r="I65" s="88"/>
    </row>
    <row r="66" spans="1:9" x14ac:dyDescent="0.25">
      <c r="A66" s="59"/>
      <c r="C66" s="91"/>
      <c r="D66" s="87"/>
      <c r="E66" s="88"/>
      <c r="F66" s="88"/>
      <c r="G66" s="88"/>
      <c r="H66" s="88"/>
      <c r="I66" s="88"/>
    </row>
    <row r="67" spans="1:9" x14ac:dyDescent="0.25">
      <c r="A67" s="59"/>
      <c r="C67" s="91">
        <v>1.9E-2</v>
      </c>
      <c r="D67" s="87" t="s">
        <v>65</v>
      </c>
      <c r="E67" s="88"/>
      <c r="F67" s="88"/>
      <c r="G67" s="88"/>
      <c r="H67" s="88"/>
      <c r="I67" s="88"/>
    </row>
    <row r="68" spans="1:9" x14ac:dyDescent="0.25">
      <c r="A68" s="59"/>
      <c r="C68" s="91"/>
      <c r="D68" s="87"/>
      <c r="E68" s="88"/>
      <c r="F68" s="88"/>
      <c r="G68" s="88"/>
      <c r="H68" s="88"/>
      <c r="I68" s="88"/>
    </row>
    <row r="69" spans="1:9" x14ac:dyDescent="0.25">
      <c r="A69" s="59"/>
      <c r="C69" s="91">
        <v>7.0999999999999994E-2</v>
      </c>
      <c r="D69" s="87" t="s">
        <v>66</v>
      </c>
      <c r="E69" s="88"/>
      <c r="F69" s="88"/>
      <c r="G69" s="88"/>
      <c r="H69" s="88"/>
      <c r="I69" s="88"/>
    </row>
    <row r="70" spans="1:9" x14ac:dyDescent="0.25">
      <c r="A70" s="59"/>
      <c r="C70" s="91"/>
      <c r="D70" s="87"/>
      <c r="E70" s="88"/>
      <c r="F70" s="88"/>
      <c r="G70" s="88"/>
      <c r="H70" s="88"/>
      <c r="I70" s="88"/>
    </row>
    <row r="74" spans="1:9" x14ac:dyDescent="0.25">
      <c r="A74" s="59" t="s">
        <v>121</v>
      </c>
      <c r="C74" s="65" t="s">
        <v>67</v>
      </c>
      <c r="D74" s="77" t="s">
        <v>68</v>
      </c>
      <c r="E74" s="78"/>
      <c r="F74" s="78"/>
      <c r="G74" s="78"/>
      <c r="H74" s="78"/>
      <c r="I74" s="78"/>
    </row>
    <row r="75" spans="1:9" ht="15.75" thickBot="1" x14ac:dyDescent="0.3">
      <c r="A75" s="59"/>
      <c r="C75" s="76"/>
      <c r="D75" s="89" t="s">
        <v>69</v>
      </c>
      <c r="E75" s="90"/>
      <c r="F75" s="90" t="s">
        <v>70</v>
      </c>
      <c r="G75" s="90"/>
      <c r="H75" s="90" t="s">
        <v>71</v>
      </c>
      <c r="I75" s="90"/>
    </row>
    <row r="76" spans="1:9" x14ac:dyDescent="0.25">
      <c r="A76" s="59"/>
      <c r="C76" s="18" t="s">
        <v>73</v>
      </c>
      <c r="D76" s="16" t="s">
        <v>72</v>
      </c>
      <c r="E76" s="7">
        <v>1</v>
      </c>
      <c r="F76" s="7" t="s">
        <v>72</v>
      </c>
      <c r="G76" s="7">
        <v>0.2432</v>
      </c>
      <c r="H76" s="7" t="s">
        <v>72</v>
      </c>
      <c r="I76" s="7">
        <v>7.4099999999999999E-2</v>
      </c>
    </row>
    <row r="77" spans="1:9" x14ac:dyDescent="0.25">
      <c r="A77" s="59"/>
      <c r="C77" s="19" t="s">
        <v>74</v>
      </c>
      <c r="D77" s="17" t="s">
        <v>72</v>
      </c>
      <c r="E77" s="8">
        <v>1</v>
      </c>
      <c r="F77" s="8" t="s">
        <v>72</v>
      </c>
      <c r="G77" s="8">
        <v>0.36940000000000001</v>
      </c>
      <c r="H77" s="8" t="s">
        <v>72</v>
      </c>
      <c r="I77" s="8">
        <v>0.16669999999999999</v>
      </c>
    </row>
    <row r="81" spans="1:4" ht="15.75" thickBot="1" x14ac:dyDescent="0.3">
      <c r="A81" s="59" t="s">
        <v>122</v>
      </c>
      <c r="C81" s="21" t="s">
        <v>75</v>
      </c>
      <c r="D81" s="25" t="s">
        <v>92</v>
      </c>
    </row>
    <row r="82" spans="1:4" x14ac:dyDescent="0.25">
      <c r="A82" s="59"/>
      <c r="C82" s="18" t="s">
        <v>76</v>
      </c>
      <c r="D82" s="16">
        <v>45</v>
      </c>
    </row>
    <row r="83" spans="1:4" x14ac:dyDescent="0.25">
      <c r="A83" s="59"/>
      <c r="C83" s="19" t="s">
        <v>77</v>
      </c>
      <c r="D83" s="17">
        <v>70</v>
      </c>
    </row>
    <row r="84" spans="1:4" x14ac:dyDescent="0.25">
      <c r="A84" s="59"/>
      <c r="C84" s="19" t="s">
        <v>78</v>
      </c>
      <c r="D84" s="17">
        <v>120</v>
      </c>
    </row>
    <row r="85" spans="1:4" x14ac:dyDescent="0.25">
      <c r="A85" s="59"/>
      <c r="C85" s="19" t="s">
        <v>79</v>
      </c>
      <c r="D85" s="17">
        <v>150</v>
      </c>
    </row>
    <row r="86" spans="1:4" x14ac:dyDescent="0.25">
      <c r="A86" s="59"/>
      <c r="C86" s="19" t="s">
        <v>80</v>
      </c>
      <c r="D86" s="17">
        <v>0</v>
      </c>
    </row>
    <row r="87" spans="1:4" x14ac:dyDescent="0.25">
      <c r="A87" s="59"/>
      <c r="C87" s="19" t="s">
        <v>81</v>
      </c>
      <c r="D87" s="17">
        <v>65</v>
      </c>
    </row>
    <row r="88" spans="1:4" x14ac:dyDescent="0.25">
      <c r="A88" s="59"/>
      <c r="C88" s="19" t="s">
        <v>82</v>
      </c>
      <c r="D88" s="17">
        <v>115</v>
      </c>
    </row>
    <row r="89" spans="1:4" x14ac:dyDescent="0.25">
      <c r="A89" s="59"/>
      <c r="C89" s="19" t="s">
        <v>83</v>
      </c>
      <c r="D89" s="17">
        <v>145</v>
      </c>
    </row>
    <row r="90" spans="1:4" x14ac:dyDescent="0.25">
      <c r="A90" s="59"/>
      <c r="C90" s="19" t="s">
        <v>84</v>
      </c>
      <c r="D90" s="17">
        <v>0</v>
      </c>
    </row>
    <row r="91" spans="1:4" x14ac:dyDescent="0.25">
      <c r="A91" s="59"/>
      <c r="C91" s="19" t="s">
        <v>85</v>
      </c>
      <c r="D91" s="17">
        <v>55</v>
      </c>
    </row>
    <row r="92" spans="1:4" x14ac:dyDescent="0.25">
      <c r="A92" s="59"/>
      <c r="C92" s="19" t="s">
        <v>86</v>
      </c>
      <c r="D92" s="17">
        <v>90</v>
      </c>
    </row>
    <row r="93" spans="1:4" x14ac:dyDescent="0.25">
      <c r="A93" s="59"/>
      <c r="C93" s="19" t="s">
        <v>87</v>
      </c>
      <c r="D93" s="17" t="s">
        <v>93</v>
      </c>
    </row>
    <row r="94" spans="1:4" x14ac:dyDescent="0.25">
      <c r="A94" s="59"/>
      <c r="C94" s="19" t="s">
        <v>94</v>
      </c>
      <c r="D94" s="17">
        <v>0</v>
      </c>
    </row>
    <row r="95" spans="1:4" x14ac:dyDescent="0.25">
      <c r="A95" s="59"/>
      <c r="C95" s="19" t="s">
        <v>95</v>
      </c>
      <c r="D95" s="17">
        <v>0</v>
      </c>
    </row>
    <row r="96" spans="1:4" x14ac:dyDescent="0.25">
      <c r="A96" s="59"/>
      <c r="C96" s="19" t="s">
        <v>96</v>
      </c>
      <c r="D96" s="17">
        <v>75</v>
      </c>
    </row>
    <row r="97" spans="1:11" x14ac:dyDescent="0.25">
      <c r="A97" s="59"/>
      <c r="C97" s="19" t="s">
        <v>97</v>
      </c>
      <c r="D97" s="17" t="s">
        <v>93</v>
      </c>
    </row>
    <row r="98" spans="1:11" x14ac:dyDescent="0.25">
      <c r="A98" s="59"/>
      <c r="C98" s="19" t="s">
        <v>88</v>
      </c>
      <c r="D98" s="17">
        <v>0</v>
      </c>
    </row>
    <row r="99" spans="1:11" x14ac:dyDescent="0.25">
      <c r="A99" s="59"/>
      <c r="C99" s="19" t="s">
        <v>89</v>
      </c>
      <c r="D99" s="17">
        <v>0</v>
      </c>
    </row>
    <row r="100" spans="1:11" x14ac:dyDescent="0.25">
      <c r="A100" s="59"/>
      <c r="C100" s="19" t="s">
        <v>90</v>
      </c>
      <c r="D100" s="17">
        <v>75</v>
      </c>
    </row>
    <row r="101" spans="1:11" x14ac:dyDescent="0.25">
      <c r="A101" s="59"/>
      <c r="C101" s="19" t="s">
        <v>91</v>
      </c>
      <c r="D101" s="17" t="s">
        <v>93</v>
      </c>
    </row>
    <row r="103" spans="1:11" x14ac:dyDescent="0.25">
      <c r="C103" s="30" t="s">
        <v>149</v>
      </c>
    </row>
    <row r="105" spans="1:11" ht="15" customHeight="1" x14ac:dyDescent="0.25">
      <c r="A105" s="59" t="s">
        <v>154</v>
      </c>
      <c r="C105" s="65" t="s">
        <v>147</v>
      </c>
      <c r="D105" s="62" t="s">
        <v>28</v>
      </c>
      <c r="E105" s="63"/>
      <c r="F105" s="64" t="s">
        <v>148</v>
      </c>
      <c r="G105" s="64"/>
      <c r="H105" s="64" t="s">
        <v>31</v>
      </c>
      <c r="I105" s="64"/>
      <c r="J105" s="64" t="s">
        <v>150</v>
      </c>
      <c r="K105" s="64"/>
    </row>
    <row r="106" spans="1:11" x14ac:dyDescent="0.25">
      <c r="A106" s="59"/>
      <c r="C106" s="65"/>
      <c r="D106" s="62"/>
      <c r="E106" s="63"/>
      <c r="F106" s="64"/>
      <c r="G106" s="64"/>
      <c r="H106" s="64"/>
      <c r="I106" s="64"/>
      <c r="J106" s="64"/>
      <c r="K106" s="64"/>
    </row>
    <row r="107" spans="1:11" x14ac:dyDescent="0.25">
      <c r="A107" s="59"/>
      <c r="C107" s="33" t="s">
        <v>151</v>
      </c>
      <c r="D107" s="32">
        <v>45</v>
      </c>
      <c r="E107" s="31" t="s">
        <v>145</v>
      </c>
      <c r="F107" s="31">
        <v>70</v>
      </c>
      <c r="G107" s="31" t="s">
        <v>145</v>
      </c>
      <c r="H107" s="31">
        <v>120</v>
      </c>
      <c r="I107" s="31" t="s">
        <v>145</v>
      </c>
      <c r="J107" s="31">
        <v>150</v>
      </c>
      <c r="K107" s="31" t="s">
        <v>145</v>
      </c>
    </row>
    <row r="108" spans="1:11" x14ac:dyDescent="0.25">
      <c r="A108" s="59"/>
      <c r="C108" s="33" t="s">
        <v>152</v>
      </c>
      <c r="D108" s="60" t="s">
        <v>93</v>
      </c>
      <c r="E108" s="61"/>
      <c r="F108" s="31">
        <v>55</v>
      </c>
      <c r="G108" s="31" t="s">
        <v>145</v>
      </c>
      <c r="H108" s="31">
        <v>90</v>
      </c>
      <c r="I108" s="31" t="s">
        <v>145</v>
      </c>
      <c r="J108" s="31">
        <v>150</v>
      </c>
      <c r="K108" s="31" t="s">
        <v>145</v>
      </c>
    </row>
    <row r="109" spans="1:11" x14ac:dyDescent="0.25">
      <c r="A109" s="59"/>
      <c r="C109" s="33" t="s">
        <v>153</v>
      </c>
      <c r="D109" s="60" t="s">
        <v>93</v>
      </c>
      <c r="E109" s="61"/>
      <c r="F109" s="31">
        <v>45</v>
      </c>
      <c r="G109" s="31" t="s">
        <v>145</v>
      </c>
      <c r="H109" s="31">
        <v>75</v>
      </c>
      <c r="I109" s="31" t="s">
        <v>145</v>
      </c>
      <c r="J109" s="61" t="s">
        <v>93</v>
      </c>
      <c r="K109" s="61"/>
    </row>
    <row r="112" spans="1:11" ht="15.75" customHeight="1" thickBot="1" x14ac:dyDescent="0.3">
      <c r="A112" s="59" t="s">
        <v>194</v>
      </c>
      <c r="C112" s="21" t="s">
        <v>173</v>
      </c>
      <c r="D112" s="57"/>
      <c r="E112" s="58"/>
    </row>
    <row r="113" spans="1:5" x14ac:dyDescent="0.25">
      <c r="A113" s="59"/>
      <c r="C113" s="38" t="s">
        <v>174</v>
      </c>
      <c r="D113" s="16" t="s">
        <v>182</v>
      </c>
      <c r="E113" s="36" t="s">
        <v>183</v>
      </c>
    </row>
    <row r="114" spans="1:5" x14ac:dyDescent="0.25">
      <c r="A114" s="59"/>
      <c r="C114" s="39" t="s">
        <v>175</v>
      </c>
      <c r="D114" s="34" t="s">
        <v>184</v>
      </c>
      <c r="E114" s="35" t="s">
        <v>145</v>
      </c>
    </row>
    <row r="115" spans="1:5" x14ac:dyDescent="0.25">
      <c r="A115" s="59"/>
      <c r="C115" s="39" t="s">
        <v>176</v>
      </c>
      <c r="D115" s="34" t="s">
        <v>185</v>
      </c>
      <c r="E115" s="35"/>
    </row>
    <row r="116" spans="1:5" ht="17.25" x14ac:dyDescent="0.25">
      <c r="A116" s="59"/>
      <c r="C116" s="39" t="s">
        <v>177</v>
      </c>
      <c r="D116" s="34" t="s">
        <v>186</v>
      </c>
      <c r="E116" s="37" t="s">
        <v>188</v>
      </c>
    </row>
    <row r="117" spans="1:5" ht="17.25" x14ac:dyDescent="0.25">
      <c r="A117" s="59"/>
      <c r="C117" s="39" t="s">
        <v>178</v>
      </c>
      <c r="D117" s="34" t="s">
        <v>187</v>
      </c>
      <c r="E117" s="37" t="s">
        <v>189</v>
      </c>
    </row>
    <row r="118" spans="1:5" x14ac:dyDescent="0.25">
      <c r="A118" s="59"/>
      <c r="C118" s="39" t="s">
        <v>190</v>
      </c>
      <c r="D118" s="34" t="s">
        <v>191</v>
      </c>
      <c r="E118" s="37" t="s">
        <v>192</v>
      </c>
    </row>
    <row r="119" spans="1:5" ht="17.25" x14ac:dyDescent="0.25">
      <c r="A119" s="59"/>
      <c r="C119" s="39" t="s">
        <v>179</v>
      </c>
      <c r="D119" s="34">
        <v>0.75</v>
      </c>
      <c r="E119" s="37" t="s">
        <v>193</v>
      </c>
    </row>
    <row r="120" spans="1:5" x14ac:dyDescent="0.25">
      <c r="A120" s="59"/>
      <c r="C120" s="39" t="s">
        <v>180</v>
      </c>
      <c r="D120" s="34">
        <v>530</v>
      </c>
      <c r="E120" s="37" t="s">
        <v>113</v>
      </c>
    </row>
    <row r="121" spans="1:5" x14ac:dyDescent="0.25">
      <c r="A121" s="59"/>
      <c r="C121" s="39" t="s">
        <v>181</v>
      </c>
      <c r="D121" s="34">
        <v>280</v>
      </c>
      <c r="E121" s="37" t="s">
        <v>113</v>
      </c>
    </row>
    <row r="124" spans="1:5" ht="15" customHeight="1" x14ac:dyDescent="0.25">
      <c r="A124" s="59" t="s">
        <v>198</v>
      </c>
    </row>
    <row r="125" spans="1:5" x14ac:dyDescent="0.25">
      <c r="A125" s="59"/>
    </row>
    <row r="126" spans="1:5" x14ac:dyDescent="0.25">
      <c r="A126" s="59"/>
    </row>
    <row r="127" spans="1:5" x14ac:dyDescent="0.25">
      <c r="A127" s="59"/>
    </row>
    <row r="128" spans="1:5" x14ac:dyDescent="0.25">
      <c r="A128" s="59"/>
    </row>
    <row r="129" spans="1:1" x14ac:dyDescent="0.25">
      <c r="A129" s="59"/>
    </row>
    <row r="130" spans="1:1" x14ac:dyDescent="0.25">
      <c r="A130" s="59"/>
    </row>
    <row r="131" spans="1:1" x14ac:dyDescent="0.25">
      <c r="A131" s="59"/>
    </row>
    <row r="132" spans="1:1" x14ac:dyDescent="0.25">
      <c r="A132" s="59"/>
    </row>
    <row r="133" spans="1:1" x14ac:dyDescent="0.25">
      <c r="A133" s="59"/>
    </row>
    <row r="134" spans="1:1" x14ac:dyDescent="0.25">
      <c r="A134" s="59"/>
    </row>
    <row r="135" spans="1:1" x14ac:dyDescent="0.25">
      <c r="A135" s="59"/>
    </row>
    <row r="136" spans="1:1" x14ac:dyDescent="0.25">
      <c r="A136" s="59"/>
    </row>
    <row r="137" spans="1:1" x14ac:dyDescent="0.25">
      <c r="A137" s="59"/>
    </row>
    <row r="138" spans="1:1" x14ac:dyDescent="0.25">
      <c r="A138" s="59"/>
    </row>
    <row r="142" spans="1:1" ht="15" customHeight="1" x14ac:dyDescent="0.25">
      <c r="A142" s="59" t="s">
        <v>244</v>
      </c>
    </row>
    <row r="143" spans="1:1" x14ac:dyDescent="0.25">
      <c r="A143" s="59"/>
    </row>
    <row r="144" spans="1:1" x14ac:dyDescent="0.25">
      <c r="A144" s="59"/>
    </row>
    <row r="145" spans="1:1" x14ac:dyDescent="0.25">
      <c r="A145" s="59"/>
    </row>
    <row r="146" spans="1:1" x14ac:dyDescent="0.25">
      <c r="A146" s="59"/>
    </row>
    <row r="147" spans="1:1" x14ac:dyDescent="0.25">
      <c r="A147" s="59"/>
    </row>
    <row r="148" spans="1:1" x14ac:dyDescent="0.25">
      <c r="A148" s="59"/>
    </row>
    <row r="149" spans="1:1" x14ac:dyDescent="0.25">
      <c r="A149" s="59"/>
    </row>
    <row r="150" spans="1:1" x14ac:dyDescent="0.25">
      <c r="A150" s="59"/>
    </row>
    <row r="151" spans="1:1" x14ac:dyDescent="0.25">
      <c r="A151" s="59"/>
    </row>
    <row r="152" spans="1:1" x14ac:dyDescent="0.25">
      <c r="A152" s="59"/>
    </row>
    <row r="153" spans="1:1" x14ac:dyDescent="0.25">
      <c r="A153" s="59"/>
    </row>
    <row r="154" spans="1:1" x14ac:dyDescent="0.25">
      <c r="A154" s="59"/>
    </row>
    <row r="155" spans="1:1" x14ac:dyDescent="0.25">
      <c r="A155" s="59"/>
    </row>
    <row r="156" spans="1:1" x14ac:dyDescent="0.25">
      <c r="A156" s="59"/>
    </row>
    <row r="157" spans="1:1" x14ac:dyDescent="0.25">
      <c r="A157" s="59"/>
    </row>
    <row r="158" spans="1:1" x14ac:dyDescent="0.25">
      <c r="A158" s="59"/>
    </row>
    <row r="159" spans="1:1" x14ac:dyDescent="0.25">
      <c r="A159" s="59"/>
    </row>
    <row r="160" spans="1:1" x14ac:dyDescent="0.25">
      <c r="A160" s="59"/>
    </row>
    <row r="161" spans="1:1" x14ac:dyDescent="0.25">
      <c r="A161" s="59"/>
    </row>
    <row r="162" spans="1:1" x14ac:dyDescent="0.25">
      <c r="A162" s="59"/>
    </row>
    <row r="163" spans="1:1" x14ac:dyDescent="0.25">
      <c r="A163" s="59"/>
    </row>
    <row r="164" spans="1:1" x14ac:dyDescent="0.25">
      <c r="A164" s="59"/>
    </row>
    <row r="165" spans="1:1" x14ac:dyDescent="0.25">
      <c r="A165" s="59"/>
    </row>
    <row r="166" spans="1:1" x14ac:dyDescent="0.25">
      <c r="A166" s="59"/>
    </row>
    <row r="167" spans="1:1" x14ac:dyDescent="0.25">
      <c r="A167" s="59"/>
    </row>
    <row r="168" spans="1:1" x14ac:dyDescent="0.25">
      <c r="A168" s="59"/>
    </row>
    <row r="169" spans="1:1" x14ac:dyDescent="0.25">
      <c r="A169" s="59"/>
    </row>
    <row r="170" spans="1:1" x14ac:dyDescent="0.25">
      <c r="A170" s="59"/>
    </row>
    <row r="171" spans="1:1" x14ac:dyDescent="0.25">
      <c r="A171" s="59"/>
    </row>
    <row r="172" spans="1:1" x14ac:dyDescent="0.25">
      <c r="A172" s="59"/>
    </row>
    <row r="173" spans="1:1" x14ac:dyDescent="0.25">
      <c r="A173" s="59"/>
    </row>
    <row r="174" spans="1:1" x14ac:dyDescent="0.25">
      <c r="A174" s="59"/>
    </row>
    <row r="175" spans="1:1" x14ac:dyDescent="0.25">
      <c r="A175" s="59"/>
    </row>
    <row r="176" spans="1:1" x14ac:dyDescent="0.25">
      <c r="A176" s="59"/>
    </row>
    <row r="177" spans="1:1" x14ac:dyDescent="0.25">
      <c r="A177" s="59"/>
    </row>
    <row r="178" spans="1:1" x14ac:dyDescent="0.25">
      <c r="A178" s="59"/>
    </row>
    <row r="179" spans="1:1" x14ac:dyDescent="0.25">
      <c r="A179" s="59"/>
    </row>
    <row r="180" spans="1:1" x14ac:dyDescent="0.25">
      <c r="A180" s="59"/>
    </row>
    <row r="181" spans="1:1" x14ac:dyDescent="0.25">
      <c r="A181" s="59"/>
    </row>
    <row r="182" spans="1:1" x14ac:dyDescent="0.25">
      <c r="A182" s="59"/>
    </row>
    <row r="183" spans="1:1" x14ac:dyDescent="0.25">
      <c r="A183" s="59"/>
    </row>
    <row r="184" spans="1:1" x14ac:dyDescent="0.25">
      <c r="A184" s="59"/>
    </row>
    <row r="185" spans="1:1" x14ac:dyDescent="0.25">
      <c r="A185" s="59"/>
    </row>
    <row r="186" spans="1:1" x14ac:dyDescent="0.25">
      <c r="A186" s="59"/>
    </row>
    <row r="187" spans="1:1" x14ac:dyDescent="0.25">
      <c r="A187" s="59"/>
    </row>
    <row r="188" spans="1:1" x14ac:dyDescent="0.25">
      <c r="A188" s="59"/>
    </row>
    <row r="189" spans="1:1" x14ac:dyDescent="0.25">
      <c r="A189" s="59"/>
    </row>
  </sheetData>
  <mergeCells count="66">
    <mergeCell ref="A142:A189"/>
    <mergeCell ref="A62:A70"/>
    <mergeCell ref="A74:A77"/>
    <mergeCell ref="A81:A101"/>
    <mergeCell ref="A5:A14"/>
    <mergeCell ref="A19:A26"/>
    <mergeCell ref="A32:A39"/>
    <mergeCell ref="A43:A45"/>
    <mergeCell ref="A49:A50"/>
    <mergeCell ref="A54:A58"/>
    <mergeCell ref="D67:I68"/>
    <mergeCell ref="C67:C68"/>
    <mergeCell ref="D69:I70"/>
    <mergeCell ref="C69:C70"/>
    <mergeCell ref="D62:I62"/>
    <mergeCell ref="C65:C66"/>
    <mergeCell ref="D75:E75"/>
    <mergeCell ref="F75:G75"/>
    <mergeCell ref="H75:I75"/>
    <mergeCell ref="C74:C75"/>
    <mergeCell ref="D74:I74"/>
    <mergeCell ref="D49:E49"/>
    <mergeCell ref="F49:G49"/>
    <mergeCell ref="D63:I63"/>
    <mergeCell ref="D64:I64"/>
    <mergeCell ref="D65:I66"/>
    <mergeCell ref="G36:H39"/>
    <mergeCell ref="D43:E43"/>
    <mergeCell ref="F43:G43"/>
    <mergeCell ref="E39:F39"/>
    <mergeCell ref="E38:F38"/>
    <mergeCell ref="E37:F37"/>
    <mergeCell ref="E36:F36"/>
    <mergeCell ref="C28:K28"/>
    <mergeCell ref="E33:F34"/>
    <mergeCell ref="G33:H34"/>
    <mergeCell ref="G35:H35"/>
    <mergeCell ref="D23:E23"/>
    <mergeCell ref="F23:G23"/>
    <mergeCell ref="D24:E24"/>
    <mergeCell ref="F24:G24"/>
    <mergeCell ref="D25:E25"/>
    <mergeCell ref="F25:G25"/>
    <mergeCell ref="C32:C34"/>
    <mergeCell ref="E35:F35"/>
    <mergeCell ref="D32:H32"/>
    <mergeCell ref="D33:D34"/>
    <mergeCell ref="C5:C6"/>
    <mergeCell ref="D20:E20"/>
    <mergeCell ref="F20:G20"/>
    <mergeCell ref="H20:I20"/>
    <mergeCell ref="J20:K20"/>
    <mergeCell ref="D19:K19"/>
    <mergeCell ref="C19:C21"/>
    <mergeCell ref="J109:K109"/>
    <mergeCell ref="A105:A109"/>
    <mergeCell ref="D105:E106"/>
    <mergeCell ref="F105:G106"/>
    <mergeCell ref="H105:I106"/>
    <mergeCell ref="J105:K106"/>
    <mergeCell ref="C105:C106"/>
    <mergeCell ref="D112:E112"/>
    <mergeCell ref="A112:A121"/>
    <mergeCell ref="A124:A138"/>
    <mergeCell ref="D108:E108"/>
    <mergeCell ref="D109:E10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7"/>
  <sheetViews>
    <sheetView showGridLines="0" showRowColHeaders="0" workbookViewId="0">
      <selection activeCell="C2" sqref="C2"/>
    </sheetView>
  </sheetViews>
  <sheetFormatPr defaultRowHeight="15" x14ac:dyDescent="0.25"/>
  <cols>
    <col min="2" max="2" width="31.42578125" bestFit="1" customWidth="1"/>
    <col min="3" max="3" width="10.42578125" customWidth="1"/>
    <col min="6" max="6" width="12.42578125" bestFit="1" customWidth="1"/>
  </cols>
  <sheetData>
    <row r="2" spans="1:5" x14ac:dyDescent="0.25">
      <c r="B2" s="31" t="s">
        <v>163</v>
      </c>
      <c r="C2" s="46"/>
    </row>
    <row r="3" spans="1:5" x14ac:dyDescent="0.25">
      <c r="B3" s="31" t="s">
        <v>164</v>
      </c>
      <c r="C3" s="47"/>
    </row>
    <row r="6" spans="1:5" x14ac:dyDescent="0.25">
      <c r="A6" s="44"/>
      <c r="B6" s="44"/>
      <c r="C6" s="44"/>
      <c r="D6" s="44"/>
      <c r="E6" s="44"/>
    </row>
    <row r="7" spans="1:5" ht="21" x14ac:dyDescent="0.35">
      <c r="B7" s="28" t="s">
        <v>142</v>
      </c>
    </row>
    <row r="9" spans="1:5" x14ac:dyDescent="0.25">
      <c r="B9" s="31" t="s">
        <v>165</v>
      </c>
      <c r="C9" s="46">
        <v>1</v>
      </c>
      <c r="D9" t="s">
        <v>106</v>
      </c>
    </row>
    <row r="10" spans="1:5" x14ac:dyDescent="0.25">
      <c r="B10" s="31" t="s">
        <v>166</v>
      </c>
      <c r="C10" s="46">
        <v>2.5</v>
      </c>
      <c r="D10" t="s">
        <v>106</v>
      </c>
    </row>
    <row r="12" spans="1:5" x14ac:dyDescent="0.25">
      <c r="B12" s="31" t="s">
        <v>143</v>
      </c>
      <c r="C12" s="47">
        <f>C9*C10</f>
        <v>2.5</v>
      </c>
      <c r="D12" t="s">
        <v>144</v>
      </c>
    </row>
    <row r="14" spans="1:5" x14ac:dyDescent="0.25">
      <c r="A14" s="44"/>
      <c r="B14" s="44"/>
      <c r="C14" s="44"/>
      <c r="D14" s="44"/>
      <c r="E14" s="44"/>
    </row>
    <row r="15" spans="1:5" ht="21" x14ac:dyDescent="0.35">
      <c r="B15" s="28" t="s">
        <v>98</v>
      </c>
    </row>
    <row r="17" spans="1:15" x14ac:dyDescent="0.25">
      <c r="B17" s="29" t="s">
        <v>99</v>
      </c>
    </row>
    <row r="19" spans="1:15" x14ac:dyDescent="0.25">
      <c r="B19" s="31" t="s">
        <v>100</v>
      </c>
      <c r="C19" s="46">
        <v>25</v>
      </c>
      <c r="D19" t="s">
        <v>103</v>
      </c>
      <c r="E19" s="1" t="s">
        <v>102</v>
      </c>
      <c r="F19" s="31" t="s">
        <v>204</v>
      </c>
      <c r="G19" s="46">
        <v>1.2E-2</v>
      </c>
      <c r="H19" t="s">
        <v>205</v>
      </c>
      <c r="I19" s="31" t="s">
        <v>223</v>
      </c>
      <c r="J19" s="46">
        <v>1.2E-2</v>
      </c>
      <c r="K19" t="s">
        <v>106</v>
      </c>
      <c r="M19" s="31" t="s">
        <v>203</v>
      </c>
      <c r="N19" s="47">
        <f>G19+J19</f>
        <v>2.4E-2</v>
      </c>
      <c r="O19" t="s">
        <v>106</v>
      </c>
    </row>
    <row r="20" spans="1:15" x14ac:dyDescent="0.25">
      <c r="B20" s="31" t="s">
        <v>101</v>
      </c>
      <c r="C20" s="46">
        <v>0.02</v>
      </c>
      <c r="D20" t="s">
        <v>104</v>
      </c>
      <c r="E20" s="1" t="s">
        <v>102</v>
      </c>
      <c r="F20" s="48" t="s">
        <v>105</v>
      </c>
      <c r="G20" s="46">
        <v>1.5200000000000001E-3</v>
      </c>
      <c r="H20" t="s">
        <v>106</v>
      </c>
    </row>
    <row r="22" spans="1:15" x14ac:dyDescent="0.25">
      <c r="B22" s="31" t="s">
        <v>107</v>
      </c>
      <c r="C22" s="47">
        <f>C19*N19+C20</f>
        <v>0.62</v>
      </c>
      <c r="D22" t="s">
        <v>104</v>
      </c>
    </row>
    <row r="25" spans="1:15" x14ac:dyDescent="0.25">
      <c r="B25" s="29" t="s">
        <v>108</v>
      </c>
    </row>
    <row r="27" spans="1:15" x14ac:dyDescent="0.25">
      <c r="B27" s="31" t="s">
        <v>109</v>
      </c>
      <c r="C27" s="46">
        <v>1.2</v>
      </c>
      <c r="D27" t="s">
        <v>104</v>
      </c>
    </row>
    <row r="28" spans="1:15" x14ac:dyDescent="0.25">
      <c r="B28" s="31" t="s">
        <v>110</v>
      </c>
      <c r="C28" s="46">
        <v>3</v>
      </c>
      <c r="D28" t="s">
        <v>111</v>
      </c>
    </row>
    <row r="29" spans="1:15" x14ac:dyDescent="0.25">
      <c r="B29" s="31" t="s">
        <v>112</v>
      </c>
      <c r="C29" s="46">
        <v>10</v>
      </c>
      <c r="D29" t="s">
        <v>113</v>
      </c>
    </row>
    <row r="31" spans="1:15" x14ac:dyDescent="0.25">
      <c r="A31" s="44"/>
      <c r="B31" s="44"/>
      <c r="C31" s="44"/>
      <c r="D31" s="44"/>
      <c r="E31" s="44"/>
    </row>
    <row r="32" spans="1:15" ht="21" x14ac:dyDescent="0.35">
      <c r="B32" s="28" t="s">
        <v>123</v>
      </c>
    </row>
    <row r="34" spans="2:5" x14ac:dyDescent="0.25">
      <c r="B34" s="31" t="s">
        <v>155</v>
      </c>
      <c r="C34" s="46">
        <f>Tabelle!E14</f>
        <v>0.26</v>
      </c>
      <c r="D34" t="s">
        <v>124</v>
      </c>
    </row>
    <row r="35" spans="2:5" x14ac:dyDescent="0.25">
      <c r="B35" s="31" t="s">
        <v>156</v>
      </c>
      <c r="C35" s="46">
        <f>Tabelle!E12</f>
        <v>0.36</v>
      </c>
      <c r="D35" t="s">
        <v>126</v>
      </c>
    </row>
    <row r="36" spans="2:5" x14ac:dyDescent="0.25">
      <c r="B36" s="31" t="s">
        <v>125</v>
      </c>
      <c r="C36" s="46">
        <f>Tabelle!H22</f>
        <v>0.8</v>
      </c>
      <c r="D36" t="s">
        <v>126</v>
      </c>
    </row>
    <row r="37" spans="2:5" x14ac:dyDescent="0.25">
      <c r="B37" s="31" t="s">
        <v>128</v>
      </c>
      <c r="C37" s="46">
        <f>Tabelle!K23</f>
        <v>0.8</v>
      </c>
      <c r="D37" t="s">
        <v>126</v>
      </c>
    </row>
    <row r="38" spans="2:5" x14ac:dyDescent="0.25">
      <c r="B38" s="31" t="s">
        <v>38</v>
      </c>
      <c r="C38" s="46">
        <f>Tabelle!D35</f>
        <v>1</v>
      </c>
      <c r="D38" t="s">
        <v>127</v>
      </c>
    </row>
    <row r="39" spans="2:5" x14ac:dyDescent="0.25">
      <c r="B39" s="31" t="s">
        <v>129</v>
      </c>
      <c r="C39" s="46">
        <f>Tabelle!D107</f>
        <v>45</v>
      </c>
      <c r="D39" t="s">
        <v>145</v>
      </c>
      <c r="E39" t="s">
        <v>146</v>
      </c>
    </row>
    <row r="40" spans="2:5" x14ac:dyDescent="0.25">
      <c r="B40" s="31" t="s">
        <v>141</v>
      </c>
      <c r="C40" s="46">
        <f>Tabelle!D83</f>
        <v>70</v>
      </c>
      <c r="D40" t="s">
        <v>130</v>
      </c>
      <c r="E40" t="s">
        <v>131</v>
      </c>
    </row>
    <row r="41" spans="2:5" x14ac:dyDescent="0.25">
      <c r="B41" s="31" t="s">
        <v>51</v>
      </c>
      <c r="C41" s="46">
        <f>Tabelle!E45</f>
        <v>1</v>
      </c>
      <c r="D41" t="s">
        <v>133</v>
      </c>
    </row>
    <row r="42" spans="2:5" x14ac:dyDescent="0.25">
      <c r="B42" s="31" t="s">
        <v>132</v>
      </c>
      <c r="C42" s="46">
        <f>Tabelle!G45</f>
        <v>1</v>
      </c>
      <c r="D42" t="s">
        <v>133</v>
      </c>
    </row>
    <row r="43" spans="2:5" x14ac:dyDescent="0.25">
      <c r="B43" s="48" t="s">
        <v>53</v>
      </c>
      <c r="C43" s="46">
        <f>Tabelle!E50</f>
        <v>2.5499999999999998</v>
      </c>
      <c r="D43" t="s">
        <v>134</v>
      </c>
    </row>
    <row r="44" spans="2:5" x14ac:dyDescent="0.25">
      <c r="B44" s="48" t="s">
        <v>54</v>
      </c>
      <c r="C44" s="46">
        <f>Tabelle!G50</f>
        <v>1.35</v>
      </c>
      <c r="D44" t="s">
        <v>134</v>
      </c>
    </row>
    <row r="45" spans="2:5" x14ac:dyDescent="0.25">
      <c r="B45" s="48" t="s">
        <v>56</v>
      </c>
      <c r="C45" s="46">
        <f>Tabelle!D56</f>
        <v>1</v>
      </c>
      <c r="D45" t="s">
        <v>135</v>
      </c>
    </row>
    <row r="46" spans="2:5" x14ac:dyDescent="0.25">
      <c r="B46" s="48" t="s">
        <v>60</v>
      </c>
      <c r="C46" s="46">
        <f>Tabelle!C64</f>
        <v>5.3999999999999999E-2</v>
      </c>
      <c r="D46" t="s">
        <v>136</v>
      </c>
    </row>
    <row r="47" spans="2:5" x14ac:dyDescent="0.25">
      <c r="B47" s="48" t="s">
        <v>72</v>
      </c>
      <c r="C47" s="46">
        <f>Tabelle!G77</f>
        <v>0.36940000000000001</v>
      </c>
      <c r="D47" t="s">
        <v>137</v>
      </c>
    </row>
    <row r="49" spans="1:5" x14ac:dyDescent="0.25">
      <c r="B49" s="40" t="s">
        <v>138</v>
      </c>
    </row>
    <row r="50" spans="1:5" x14ac:dyDescent="0.25">
      <c r="B50" s="48" t="s">
        <v>139</v>
      </c>
      <c r="C50" s="47">
        <f>(0.24/(C46*C12))^(1/7)</f>
        <v>1.0856673617295571</v>
      </c>
    </row>
    <row r="51" spans="1:5" x14ac:dyDescent="0.25">
      <c r="B51" s="48" t="s">
        <v>140</v>
      </c>
      <c r="C51" s="47">
        <f>(0.1667*0.45/(C47*C9))^(1/5)</f>
        <v>0.72699302563411494</v>
      </c>
    </row>
    <row r="52" spans="1:5" x14ac:dyDescent="0.25">
      <c r="B52" s="51" t="s">
        <v>157</v>
      </c>
      <c r="C52" s="50">
        <f>(C34*$C$36*$C$38*$C$50*$C$51*$C$39)/($C$41*$C$43)+($C$37*$C$45*($C$40-$C$39))/($C$42*$C$44)</f>
        <v>17.711909535313932</v>
      </c>
      <c r="D52" t="s">
        <v>130</v>
      </c>
    </row>
    <row r="53" spans="1:5" x14ac:dyDescent="0.25">
      <c r="B53" s="51" t="s">
        <v>158</v>
      </c>
      <c r="C53" s="50">
        <f>(C35*$C$36*$C$38*$C$50*$C$51*$C$39)/($C$41*$C$43)+($C$37*$C$45*($C$40-$C$39))/($C$42*$C$44)</f>
        <v>18.8261767355059</v>
      </c>
      <c r="D53" t="s">
        <v>130</v>
      </c>
    </row>
    <row r="55" spans="1:5" x14ac:dyDescent="0.25">
      <c r="A55" s="44"/>
      <c r="B55" s="44"/>
      <c r="C55" s="44"/>
      <c r="D55" s="44"/>
      <c r="E55" s="44"/>
    </row>
    <row r="56" spans="1:5" ht="21" x14ac:dyDescent="0.35">
      <c r="B56" s="28" t="s">
        <v>159</v>
      </c>
    </row>
    <row r="58" spans="1:5" x14ac:dyDescent="0.25">
      <c r="B58" s="48" t="s">
        <v>160</v>
      </c>
      <c r="C58" s="46">
        <v>1.3</v>
      </c>
    </row>
    <row r="59" spans="1:5" x14ac:dyDescent="0.25">
      <c r="B59" s="48" t="s">
        <v>238</v>
      </c>
      <c r="C59" s="46">
        <v>1.5</v>
      </c>
    </row>
    <row r="60" spans="1:5" x14ac:dyDescent="0.25">
      <c r="B60" s="22"/>
      <c r="C60" s="41"/>
    </row>
    <row r="61" spans="1:5" x14ac:dyDescent="0.25">
      <c r="B61" s="22"/>
    </row>
    <row r="62" spans="1:5" x14ac:dyDescent="0.25">
      <c r="B62" s="29" t="s">
        <v>13</v>
      </c>
    </row>
    <row r="63" spans="1:5" x14ac:dyDescent="0.25">
      <c r="B63" s="31" t="s">
        <v>161</v>
      </c>
      <c r="C63" s="47">
        <f>C58*C22</f>
        <v>0.80600000000000005</v>
      </c>
      <c r="D63" t="s">
        <v>104</v>
      </c>
    </row>
    <row r="64" spans="1:5" x14ac:dyDescent="0.25">
      <c r="B64" s="31" t="s">
        <v>162</v>
      </c>
      <c r="C64" s="47">
        <f>C22</f>
        <v>0.62</v>
      </c>
      <c r="D64" t="s">
        <v>104</v>
      </c>
    </row>
    <row r="66" spans="1:5" x14ac:dyDescent="0.25">
      <c r="B66" s="29" t="s">
        <v>237</v>
      </c>
    </row>
    <row r="67" spans="1:5" x14ac:dyDescent="0.25">
      <c r="B67" s="31" t="s">
        <v>161</v>
      </c>
      <c r="C67" s="47">
        <f>C59*C27</f>
        <v>1.7999999999999998</v>
      </c>
      <c r="D67" t="s">
        <v>104</v>
      </c>
    </row>
    <row r="68" spans="1:5" x14ac:dyDescent="0.25">
      <c r="B68" s="31" t="s">
        <v>162</v>
      </c>
      <c r="C68" s="47">
        <f>C27</f>
        <v>1.2</v>
      </c>
      <c r="D68" t="s">
        <v>104</v>
      </c>
    </row>
    <row r="69" spans="1:5" x14ac:dyDescent="0.25">
      <c r="C69" s="41"/>
    </row>
    <row r="70" spans="1:5" x14ac:dyDescent="0.25">
      <c r="A70" s="44"/>
      <c r="B70" s="44"/>
      <c r="C70" s="44"/>
      <c r="D70" s="44"/>
      <c r="E70" s="44"/>
    </row>
    <row r="71" spans="1:5" ht="21" x14ac:dyDescent="0.35">
      <c r="B71" s="28" t="s">
        <v>167</v>
      </c>
    </row>
    <row r="72" spans="1:5" ht="17.25" customHeight="1" thickBot="1" x14ac:dyDescent="0.3">
      <c r="B72" s="29"/>
    </row>
    <row r="73" spans="1:5" ht="15.75" customHeight="1" thickTop="1" thickBot="1" x14ac:dyDescent="0.3">
      <c r="B73" s="94" t="s">
        <v>212</v>
      </c>
      <c r="C73" s="95"/>
      <c r="D73" s="95"/>
      <c r="E73" s="96"/>
    </row>
    <row r="74" spans="1:5" ht="15.75" thickTop="1" x14ac:dyDescent="0.25"/>
    <row r="75" spans="1:5" x14ac:dyDescent="0.25">
      <c r="B75" s="31" t="s">
        <v>168</v>
      </c>
      <c r="C75" s="47">
        <f>G20*1000</f>
        <v>1.52</v>
      </c>
      <c r="D75" t="s">
        <v>202</v>
      </c>
    </row>
    <row r="76" spans="1:5" x14ac:dyDescent="0.25">
      <c r="B76" s="31" t="s">
        <v>169</v>
      </c>
      <c r="C76" s="47">
        <f>C10*1000</f>
        <v>2500</v>
      </c>
      <c r="D76" t="s">
        <v>202</v>
      </c>
    </row>
    <row r="77" spans="1:5" x14ac:dyDescent="0.25">
      <c r="B77" s="31" t="s">
        <v>170</v>
      </c>
      <c r="C77" s="47">
        <f>C9*1000</f>
        <v>1000</v>
      </c>
      <c r="D77" t="s">
        <v>202</v>
      </c>
    </row>
    <row r="78" spans="1:5" x14ac:dyDescent="0.25">
      <c r="B78" s="31" t="s">
        <v>171</v>
      </c>
      <c r="C78" s="46">
        <v>70000</v>
      </c>
      <c r="D78" t="s">
        <v>201</v>
      </c>
      <c r="E78" t="s">
        <v>195</v>
      </c>
    </row>
    <row r="79" spans="1:5" x14ac:dyDescent="0.25">
      <c r="B79" s="31" t="s">
        <v>172</v>
      </c>
      <c r="C79" s="46">
        <v>1.5</v>
      </c>
      <c r="D79" t="s">
        <v>201</v>
      </c>
    </row>
    <row r="80" spans="1:5" x14ac:dyDescent="0.25">
      <c r="B80" s="31" t="s">
        <v>196</v>
      </c>
      <c r="C80" s="47">
        <f>((C77*G19*1000)*(J19*1000*C77))/((C77*G19*1000)+(J19*1000*C77))</f>
        <v>6000</v>
      </c>
      <c r="D80" t="s">
        <v>206</v>
      </c>
    </row>
    <row r="81" spans="2:5" x14ac:dyDescent="0.25">
      <c r="B81" s="48" t="s">
        <v>197</v>
      </c>
      <c r="C81" s="46">
        <f>168/(17*C77^2)</f>
        <v>9.8823529411764707E-6</v>
      </c>
      <c r="D81" t="s">
        <v>200</v>
      </c>
      <c r="E81" t="s">
        <v>199</v>
      </c>
    </row>
    <row r="82" spans="2:5" x14ac:dyDescent="0.25">
      <c r="B82" s="48" t="s">
        <v>207</v>
      </c>
      <c r="C82" s="47">
        <f>1/12*C77*C114^3</f>
        <v>144000</v>
      </c>
      <c r="D82" t="s">
        <v>209</v>
      </c>
    </row>
    <row r="83" spans="2:5" x14ac:dyDescent="0.25">
      <c r="B83" s="48" t="s">
        <v>208</v>
      </c>
      <c r="C83" s="47">
        <f>1/12*C77*C115^3</f>
        <v>144000</v>
      </c>
      <c r="D83" t="s">
        <v>209</v>
      </c>
    </row>
    <row r="84" spans="2:5" x14ac:dyDescent="0.25">
      <c r="B84" s="31" t="s">
        <v>211</v>
      </c>
      <c r="C84" s="47">
        <f>C82+C83+(C77*C114)*C117^2+(C77*C115)*C118^2</f>
        <v>1384742.4000000001</v>
      </c>
      <c r="D84" t="s">
        <v>209</v>
      </c>
    </row>
    <row r="85" spans="2:5" x14ac:dyDescent="0.25">
      <c r="B85" s="31" t="s">
        <v>225</v>
      </c>
      <c r="C85" s="47">
        <f>C119^2*C80/C77</f>
        <v>1096.7424000000001</v>
      </c>
      <c r="D85" t="s">
        <v>229</v>
      </c>
      <c r="E85">
        <f>C114*C94^2+C115*C93^2</f>
        <v>1096.7424000000001</v>
      </c>
    </row>
    <row r="86" spans="2:5" x14ac:dyDescent="0.25">
      <c r="C86" s="41"/>
    </row>
    <row r="87" spans="2:5" x14ac:dyDescent="0.25">
      <c r="B87" s="40" t="s">
        <v>236</v>
      </c>
      <c r="C87" s="41"/>
    </row>
    <row r="89" spans="2:5" x14ac:dyDescent="0.25">
      <c r="B89" s="48" t="s">
        <v>210</v>
      </c>
      <c r="C89" s="47">
        <f>1/(1+(C78*C75/(C79*C77)*(C82+C83)/C84*C80*C81))</f>
        <v>0.53340357941795524</v>
      </c>
    </row>
    <row r="90" spans="2:5" x14ac:dyDescent="0.25">
      <c r="B90" s="22"/>
    </row>
    <row r="91" spans="2:5" x14ac:dyDescent="0.25">
      <c r="B91" s="49" t="s">
        <v>226</v>
      </c>
      <c r="C91" s="50">
        <f>(1/(C89/(C114^3+C115^3+12*C85)+(1-C89)/(C114^3+C115^3)))^(1/3)</f>
        <v>18.155101383576461</v>
      </c>
      <c r="D91" t="s">
        <v>202</v>
      </c>
    </row>
    <row r="92" spans="2:5" x14ac:dyDescent="0.25">
      <c r="B92" s="22"/>
    </row>
    <row r="93" spans="2:5" x14ac:dyDescent="0.25">
      <c r="B93" s="48" t="s">
        <v>227</v>
      </c>
      <c r="C93" s="47">
        <f>$C$119*$C$114/($C$114+$C$115)</f>
        <v>6.7600000000000007</v>
      </c>
      <c r="D93" t="s">
        <v>202</v>
      </c>
    </row>
    <row r="94" spans="2:5" x14ac:dyDescent="0.25">
      <c r="B94" s="48" t="s">
        <v>228</v>
      </c>
      <c r="C94" s="47">
        <f>$C$119*$C$115/($C$114+$C$115)</f>
        <v>6.7600000000000007</v>
      </c>
      <c r="D94" t="s">
        <v>202</v>
      </c>
    </row>
    <row r="96" spans="2:5" x14ac:dyDescent="0.25">
      <c r="B96" s="51" t="s">
        <v>230</v>
      </c>
      <c r="C96" s="50">
        <f>(1/(2*C89*C94/(C114^3+C115^3+12*C85)+C114/C91^3))^0.5</f>
        <v>20.247231032924844</v>
      </c>
      <c r="D96" t="s">
        <v>202</v>
      </c>
    </row>
    <row r="97" spans="2:5" x14ac:dyDescent="0.25">
      <c r="B97" s="51" t="s">
        <v>231</v>
      </c>
      <c r="C97" s="50">
        <f>(1/(2*C89*C93/(C114^3+C115^3+12*C85)+C115/C91^3))^0.5</f>
        <v>20.247231032924844</v>
      </c>
      <c r="D97" t="s">
        <v>202</v>
      </c>
    </row>
    <row r="99" spans="2:5" x14ac:dyDescent="0.25">
      <c r="B99" s="40" t="s">
        <v>237</v>
      </c>
    </row>
    <row r="101" spans="2:5" x14ac:dyDescent="0.25">
      <c r="B101" s="31" t="s">
        <v>172</v>
      </c>
      <c r="C101" s="46">
        <v>170</v>
      </c>
      <c r="D101" t="s">
        <v>201</v>
      </c>
    </row>
    <row r="103" spans="2:5" x14ac:dyDescent="0.25">
      <c r="B103" s="48" t="s">
        <v>210</v>
      </c>
      <c r="C103" s="47">
        <f>1/(1+C78*C75/(C101*C77)*(C82+C83)/C84*C80*C81)</f>
        <v>0.9923407080781067</v>
      </c>
    </row>
    <row r="104" spans="2:5" x14ac:dyDescent="0.25">
      <c r="B104" s="22"/>
    </row>
    <row r="105" spans="2:5" x14ac:dyDescent="0.25">
      <c r="B105" s="49" t="s">
        <v>226</v>
      </c>
      <c r="C105" s="50">
        <f>(1/(C103/(C114^3+C115^3+12*C85)+(1-C103)/(C114^3+C115^3)))^(1/3)</f>
        <v>25.274818346732488</v>
      </c>
      <c r="D105" t="s">
        <v>202</v>
      </c>
    </row>
    <row r="107" spans="2:5" x14ac:dyDescent="0.25">
      <c r="B107" s="51" t="s">
        <v>230</v>
      </c>
      <c r="C107" s="50">
        <f>(1/(2*C103*C94/(C114^3+C115^3+12*C85)+C114/C105^3))^0.5</f>
        <v>25.394973278661112</v>
      </c>
      <c r="D107" t="s">
        <v>202</v>
      </c>
    </row>
    <row r="108" spans="2:5" x14ac:dyDescent="0.25">
      <c r="B108" s="51" t="s">
        <v>231</v>
      </c>
      <c r="C108" s="50">
        <f>(1/(2*C103*C93/(C114^3+C115^3+12*C85)+C115/C105^3))^0.5</f>
        <v>25.394973278661112</v>
      </c>
      <c r="D108" t="s">
        <v>202</v>
      </c>
    </row>
    <row r="111" spans="2:5" ht="15.75" thickBot="1" x14ac:dyDescent="0.3"/>
    <row r="112" spans="2:5" ht="16.5" thickTop="1" thickBot="1" x14ac:dyDescent="0.3">
      <c r="B112" s="94" t="s">
        <v>213</v>
      </c>
      <c r="C112" s="95"/>
      <c r="D112" s="95"/>
      <c r="E112" s="96"/>
    </row>
    <row r="113" spans="2:5" ht="15.75" thickTop="1" x14ac:dyDescent="0.25"/>
    <row r="114" spans="2:5" x14ac:dyDescent="0.25">
      <c r="B114" s="31" t="s">
        <v>214</v>
      </c>
      <c r="C114" s="47">
        <f>G19*1000</f>
        <v>12</v>
      </c>
      <c r="D114" t="s">
        <v>202</v>
      </c>
    </row>
    <row r="115" spans="2:5" x14ac:dyDescent="0.25">
      <c r="B115" s="31" t="s">
        <v>215</v>
      </c>
      <c r="C115" s="47">
        <f>J19*1000</f>
        <v>12</v>
      </c>
      <c r="D115" t="s">
        <v>202</v>
      </c>
    </row>
    <row r="116" spans="2:5" x14ac:dyDescent="0.25">
      <c r="B116" s="31" t="s">
        <v>216</v>
      </c>
      <c r="C116" s="47">
        <f>C75</f>
        <v>1.52</v>
      </c>
      <c r="D116" t="s">
        <v>202</v>
      </c>
    </row>
    <row r="117" spans="2:5" x14ac:dyDescent="0.25">
      <c r="B117" s="31" t="s">
        <v>220</v>
      </c>
      <c r="C117" s="47">
        <f>((G19+J19+G20)/2-G19/2)*1000</f>
        <v>6.7600000000000007</v>
      </c>
      <c r="D117" t="s">
        <v>202</v>
      </c>
    </row>
    <row r="118" spans="2:5" x14ac:dyDescent="0.25">
      <c r="B118" s="31" t="s">
        <v>221</v>
      </c>
      <c r="C118" s="47">
        <f>((G19+G20+J19)/2-J19/2)*1000</f>
        <v>6.7600000000000007</v>
      </c>
      <c r="D118" t="s">
        <v>202</v>
      </c>
    </row>
    <row r="119" spans="2:5" x14ac:dyDescent="0.25">
      <c r="B119" s="31" t="s">
        <v>222</v>
      </c>
      <c r="C119" s="47">
        <f>C117+C118</f>
        <v>13.520000000000001</v>
      </c>
      <c r="D119" t="s">
        <v>202</v>
      </c>
    </row>
    <row r="120" spans="2:5" x14ac:dyDescent="0.25">
      <c r="B120" s="31" t="s">
        <v>219</v>
      </c>
      <c r="C120" s="46">
        <v>0.22</v>
      </c>
      <c r="D120" t="s">
        <v>195</v>
      </c>
    </row>
    <row r="121" spans="2:5" x14ac:dyDescent="0.25">
      <c r="B121" s="31" t="s">
        <v>217</v>
      </c>
      <c r="C121" s="47">
        <f>C124*C114^3/(12*(1-C120^2))</f>
        <v>10592686.002522068</v>
      </c>
    </row>
    <row r="122" spans="2:5" x14ac:dyDescent="0.25">
      <c r="B122" s="31" t="s">
        <v>218</v>
      </c>
      <c r="C122" s="47">
        <f>C124*C115^3/(12*(1-C120^2))</f>
        <v>10592686.002522068</v>
      </c>
    </row>
    <row r="123" spans="2:5" x14ac:dyDescent="0.25">
      <c r="B123" s="31" t="s">
        <v>224</v>
      </c>
      <c r="C123" s="47">
        <f>C121+C122+C124/(12*(1-C120^2))*C114*C115/(C114+C115)*C119^2</f>
        <v>27908432.114333756</v>
      </c>
    </row>
    <row r="124" spans="2:5" x14ac:dyDescent="0.25">
      <c r="B124" s="31" t="s">
        <v>171</v>
      </c>
      <c r="C124" s="46">
        <v>70000</v>
      </c>
      <c r="D124" t="s">
        <v>201</v>
      </c>
      <c r="E124" t="s">
        <v>195</v>
      </c>
    </row>
    <row r="125" spans="2:5" x14ac:dyDescent="0.25">
      <c r="B125" s="31" t="s">
        <v>172</v>
      </c>
      <c r="C125" s="46">
        <f>C79</f>
        <v>1.5</v>
      </c>
      <c r="D125" t="s">
        <v>201</v>
      </c>
    </row>
    <row r="126" spans="2:5" x14ac:dyDescent="0.25">
      <c r="B126" s="48" t="s">
        <v>197</v>
      </c>
      <c r="C126" s="52">
        <f>1.56303/1000000</f>
        <v>1.5630299999999999E-6</v>
      </c>
      <c r="D126" t="s">
        <v>200</v>
      </c>
      <c r="E126" t="s">
        <v>245</v>
      </c>
    </row>
    <row r="127" spans="2:5" x14ac:dyDescent="0.25">
      <c r="B127" s="22"/>
      <c r="C127" s="43"/>
    </row>
    <row r="128" spans="2:5" x14ac:dyDescent="0.25">
      <c r="B128" s="40" t="s">
        <v>236</v>
      </c>
      <c r="C128" s="43"/>
    </row>
    <row r="130" spans="2:4" x14ac:dyDescent="0.25">
      <c r="B130" s="48" t="s">
        <v>210</v>
      </c>
      <c r="C130" s="53">
        <f>1/(1+C116*C124/(C125*(1-C120^2))*(C121+C122)/C123*C114*C115/(C114+C115)*C126)</f>
        <v>0.65331357438877147</v>
      </c>
    </row>
    <row r="132" spans="2:4" x14ac:dyDescent="0.25">
      <c r="B132" s="51" t="s">
        <v>226</v>
      </c>
      <c r="C132" s="50">
        <f>(1/(C130/(C114^3+C115^3+12*C85)+(1-C130)/(C114^3+C115^3)))^(1/3)</f>
        <v>19.275538330622901</v>
      </c>
      <c r="D132" t="s">
        <v>202</v>
      </c>
    </row>
    <row r="134" spans="2:4" x14ac:dyDescent="0.25">
      <c r="B134" s="48" t="s">
        <v>227</v>
      </c>
      <c r="C134" s="47">
        <f>$C$119*$C$114/($C$114+$C$115)</f>
        <v>6.7600000000000007</v>
      </c>
      <c r="D134" t="s">
        <v>202</v>
      </c>
    </row>
    <row r="135" spans="2:4" x14ac:dyDescent="0.25">
      <c r="B135" s="48" t="s">
        <v>228</v>
      </c>
      <c r="C135" s="47">
        <f>$C$119*$C$115/($C$114+$C$115)</f>
        <v>6.7600000000000007</v>
      </c>
      <c r="D135" t="s">
        <v>202</v>
      </c>
    </row>
    <row r="137" spans="2:4" x14ac:dyDescent="0.25">
      <c r="B137" s="51" t="s">
        <v>230</v>
      </c>
      <c r="C137" s="50">
        <f>(1/(2*C130*C135/(C114^3+C115^3+12*C85)+C114/C132^3))^0.5</f>
        <v>21.285648033940845</v>
      </c>
      <c r="D137" t="s">
        <v>202</v>
      </c>
    </row>
    <row r="138" spans="2:4" x14ac:dyDescent="0.25">
      <c r="B138" s="51" t="s">
        <v>231</v>
      </c>
      <c r="C138" s="50">
        <f>(1/(2*C130*C134/(C114^3+C115^3+12*C85)+C115/C132^3))^0.5</f>
        <v>21.285648033940845</v>
      </c>
      <c r="D138" t="s">
        <v>202</v>
      </c>
    </row>
    <row r="139" spans="2:4" x14ac:dyDescent="0.25">
      <c r="B139" s="40"/>
      <c r="C139" s="42"/>
    </row>
    <row r="140" spans="2:4" x14ac:dyDescent="0.25">
      <c r="B140" s="40" t="s">
        <v>237</v>
      </c>
      <c r="C140" s="42"/>
    </row>
    <row r="142" spans="2:4" x14ac:dyDescent="0.25">
      <c r="B142" s="31" t="s">
        <v>172</v>
      </c>
      <c r="C142" s="46">
        <v>170</v>
      </c>
      <c r="D142" t="s">
        <v>201</v>
      </c>
    </row>
    <row r="144" spans="2:4" x14ac:dyDescent="0.25">
      <c r="B144" s="48" t="s">
        <v>210</v>
      </c>
      <c r="C144" s="53">
        <f>1/(1+C124*C116/(C142*(1-C120^2))*(C121+C122)/C123*C114*C115/(C114+C115)*C126)</f>
        <v>0.99533954037339001</v>
      </c>
    </row>
    <row r="145" spans="1:5" x14ac:dyDescent="0.25">
      <c r="B145" s="22"/>
    </row>
    <row r="146" spans="1:5" x14ac:dyDescent="0.25">
      <c r="B146" s="49" t="s">
        <v>226</v>
      </c>
      <c r="C146" s="50">
        <f>(1/(C144/(C114^3+C115^3+12*C85)+(1-C144)/(C114^3+C115^3)))^(1/3)</f>
        <v>25.369001595896865</v>
      </c>
      <c r="D146" t="s">
        <v>202</v>
      </c>
    </row>
    <row r="148" spans="1:5" x14ac:dyDescent="0.25">
      <c r="B148" s="51" t="s">
        <v>230</v>
      </c>
      <c r="C148" s="50">
        <f>(1/(2*C144*C135/(C114^3+C115^3+12*C85)+C114/C146^3))^0.5</f>
        <v>25.442659268061487</v>
      </c>
      <c r="D148" t="s">
        <v>202</v>
      </c>
    </row>
    <row r="149" spans="1:5" x14ac:dyDescent="0.25">
      <c r="B149" s="51" t="s">
        <v>231</v>
      </c>
      <c r="C149" s="50">
        <f>(1/(2*C144*C134/(C114^3+C115^3+12*C85)+C115/C146^3))^0.5</f>
        <v>25.442659268061487</v>
      </c>
      <c r="D149" t="s">
        <v>202</v>
      </c>
    </row>
    <row r="151" spans="1:5" x14ac:dyDescent="0.25">
      <c r="A151" s="44"/>
      <c r="B151" s="44"/>
      <c r="C151" s="44"/>
      <c r="D151" s="44"/>
      <c r="E151" s="44"/>
    </row>
    <row r="152" spans="1:5" ht="21" x14ac:dyDescent="0.35">
      <c r="B152" s="28" t="s">
        <v>232</v>
      </c>
    </row>
    <row r="154" spans="1:5" x14ac:dyDescent="0.25">
      <c r="B154" s="29" t="s">
        <v>212</v>
      </c>
    </row>
    <row r="155" spans="1:5" x14ac:dyDescent="0.25">
      <c r="B155" s="29"/>
    </row>
    <row r="156" spans="1:5" x14ac:dyDescent="0.25">
      <c r="B156" s="40" t="s">
        <v>234</v>
      </c>
    </row>
    <row r="157" spans="1:5" x14ac:dyDescent="0.25">
      <c r="B157" s="31" t="s">
        <v>233</v>
      </c>
      <c r="C157" s="47">
        <f>0.75*C77^2/C96^2*C63/1000</f>
        <v>1.4745687584309095</v>
      </c>
      <c r="D157" t="s">
        <v>145</v>
      </c>
    </row>
    <row r="158" spans="1:5" x14ac:dyDescent="0.25">
      <c r="B158" s="31" t="s">
        <v>235</v>
      </c>
      <c r="C158" s="47">
        <f>0.148*C77^4/C91^3*C64/1000/C78</f>
        <v>0.21905810651652691</v>
      </c>
      <c r="D158" t="s">
        <v>202</v>
      </c>
    </row>
    <row r="160" spans="1:5" x14ac:dyDescent="0.25">
      <c r="B160" s="40" t="s">
        <v>237</v>
      </c>
    </row>
    <row r="161" spans="1:5" x14ac:dyDescent="0.25">
      <c r="B161" s="31" t="s">
        <v>233</v>
      </c>
      <c r="C161" s="47">
        <f>0.75*C77^2/C107^2*C67/1000</f>
        <v>2.0933326541972099</v>
      </c>
      <c r="D161" t="s">
        <v>145</v>
      </c>
    </row>
    <row r="162" spans="1:5" x14ac:dyDescent="0.25">
      <c r="B162" s="31" t="s">
        <v>235</v>
      </c>
      <c r="C162" s="47">
        <f>0.148*C77^4/C105^3*C68/1000/C78</f>
        <v>0.15713784488711599</v>
      </c>
      <c r="D162" t="s">
        <v>202</v>
      </c>
    </row>
    <row r="165" spans="1:5" x14ac:dyDescent="0.25">
      <c r="B165" s="29" t="s">
        <v>213</v>
      </c>
    </row>
    <row r="166" spans="1:5" x14ac:dyDescent="0.25">
      <c r="B166" s="29"/>
    </row>
    <row r="167" spans="1:5" x14ac:dyDescent="0.25">
      <c r="B167" s="40" t="s">
        <v>234</v>
      </c>
    </row>
    <row r="168" spans="1:5" x14ac:dyDescent="0.25">
      <c r="B168" s="31" t="s">
        <v>233</v>
      </c>
      <c r="C168" s="47">
        <f>0.75*C77^2/C137^2*C63/1000</f>
        <v>1.3342049632196391</v>
      </c>
      <c r="D168" t="s">
        <v>145</v>
      </c>
    </row>
    <row r="169" spans="1:5" x14ac:dyDescent="0.25">
      <c r="B169" s="31" t="s">
        <v>235</v>
      </c>
      <c r="C169" s="47">
        <f>0.148*C77^4/C132^3*C64/1000/C124</f>
        <v>0.18303570529117227</v>
      </c>
      <c r="D169" t="s">
        <v>202</v>
      </c>
    </row>
    <row r="171" spans="1:5" x14ac:dyDescent="0.25">
      <c r="B171" s="40" t="s">
        <v>237</v>
      </c>
    </row>
    <row r="172" spans="1:5" x14ac:dyDescent="0.25">
      <c r="B172" s="31" t="s">
        <v>233</v>
      </c>
      <c r="C172" s="47">
        <f>0.75*C77^2/C148^2*C67/1000</f>
        <v>2.0854931362245686</v>
      </c>
      <c r="D172" t="s">
        <v>145</v>
      </c>
    </row>
    <row r="173" spans="1:5" x14ac:dyDescent="0.25">
      <c r="B173" s="31" t="s">
        <v>235</v>
      </c>
      <c r="C173" s="47">
        <f>0.148*C77^4/C146^3*C68/1000/C78</f>
        <v>0.15539419610732211</v>
      </c>
      <c r="D173" t="s">
        <v>202</v>
      </c>
    </row>
    <row r="175" spans="1:5" x14ac:dyDescent="0.25">
      <c r="A175" s="44"/>
      <c r="B175" s="44"/>
      <c r="C175" s="44"/>
      <c r="D175" s="44"/>
      <c r="E175" s="44"/>
    </row>
    <row r="176" spans="1:5" ht="21" x14ac:dyDescent="0.35">
      <c r="B176" s="28" t="s">
        <v>239</v>
      </c>
    </row>
    <row r="178" spans="2:4" x14ac:dyDescent="0.25">
      <c r="B178" s="29" t="s">
        <v>240</v>
      </c>
    </row>
    <row r="180" spans="2:4" ht="15.75" thickBot="1" x14ac:dyDescent="0.3">
      <c r="B180" s="31" t="s">
        <v>243</v>
      </c>
      <c r="C180" s="55">
        <f>C168/C52+C172/C53</f>
        <v>0.18610436996068022</v>
      </c>
    </row>
    <row r="181" spans="2:4" ht="15.75" thickBot="1" x14ac:dyDescent="0.3">
      <c r="B181" s="54" t="s">
        <v>229</v>
      </c>
      <c r="C181" s="45" t="str">
        <f>IF(C180&lt;=1,"Ok","No")</f>
        <v>Ok</v>
      </c>
    </row>
    <row r="183" spans="2:4" x14ac:dyDescent="0.25">
      <c r="B183" s="29" t="s">
        <v>241</v>
      </c>
    </row>
    <row r="185" spans="2:4" x14ac:dyDescent="0.25">
      <c r="B185" s="31" t="s">
        <v>242</v>
      </c>
      <c r="C185" s="47">
        <f>1/100*C77</f>
        <v>10</v>
      </c>
      <c r="D185" t="s">
        <v>202</v>
      </c>
    </row>
    <row r="186" spans="2:4" ht="15.75" thickBot="1" x14ac:dyDescent="0.3">
      <c r="B186" s="31" t="s">
        <v>235</v>
      </c>
      <c r="C186" s="56">
        <f>C169+C173</f>
        <v>0.33842990139849438</v>
      </c>
      <c r="D186" t="s">
        <v>202</v>
      </c>
    </row>
    <row r="187" spans="2:4" ht="15.75" thickBot="1" x14ac:dyDescent="0.3">
      <c r="B187" s="54" t="s">
        <v>229</v>
      </c>
      <c r="C187" s="45" t="str">
        <f>IF(C186&lt;C185,"Ok","No")</f>
        <v>Ok</v>
      </c>
    </row>
  </sheetData>
  <mergeCells count="2">
    <mergeCell ref="B73:E73"/>
    <mergeCell ref="B112:E1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Tabelle</vt:lpstr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2015-07-20T22:40:40Z</dcterms:modified>
</cp:coreProperties>
</file>